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mlaptop/Dropbox (Ehleringer)/5.0 Teaching related ƒ/5.1 BIOL 5460 Plant Ecology ƒ/7.0 Models for students ƒ/1 Solar radiation models ƒ/"/>
    </mc:Choice>
  </mc:AlternateContent>
  <xr:revisionPtr revIDLastSave="0" documentId="13_ncr:1_{977FAA1D-2296-9043-A9D2-291F01F4627D}" xr6:coauthVersionLast="47" xr6:coauthVersionMax="47" xr10:uidLastSave="{00000000-0000-0000-0000-000000000000}"/>
  <bookViews>
    <workbookView xWindow="5240" yWindow="1140" windowWidth="25040" windowHeight="18700" tabRatio="857" xr2:uid="{00000000-000D-0000-FFFF-FFFF00000000}"/>
  </bookViews>
  <sheets>
    <sheet name="Inputs" sheetId="3" r:id="rId1"/>
    <sheet name="Hour 0" sheetId="36" state="hidden" r:id="rId2"/>
    <sheet name="Hour 1" sheetId="35" state="hidden" r:id="rId3"/>
    <sheet name="Hour 2" sheetId="34" state="hidden" r:id="rId4"/>
    <sheet name="Hour 3" sheetId="33" state="hidden" r:id="rId5"/>
    <sheet name="Hour 4" sheetId="32" state="hidden" r:id="rId6"/>
    <sheet name="Hour 5" sheetId="31" state="hidden" r:id="rId7"/>
    <sheet name="Hour 6" sheetId="30" state="hidden" r:id="rId8"/>
    <sheet name="Hour 7" sheetId="29" state="hidden" r:id="rId9"/>
    <sheet name="Hour 8" sheetId="28" state="hidden" r:id="rId10"/>
    <sheet name="Hour 9" sheetId="27" state="hidden" r:id="rId11"/>
    <sheet name="Hour 10" sheetId="41" state="hidden" r:id="rId12"/>
    <sheet name="Hour 11" sheetId="40" state="hidden" r:id="rId13"/>
    <sheet name="Hour 12" sheetId="39" state="hidden" r:id="rId14"/>
    <sheet name="Hour 13" sheetId="38" state="hidden" r:id="rId15"/>
    <sheet name="Hour14" sheetId="37" state="hidden" r:id="rId16"/>
    <sheet name="Hour 15" sheetId="11" state="hidden" r:id="rId17"/>
    <sheet name="Hour 16" sheetId="49" state="hidden" r:id="rId18"/>
    <sheet name="Hour 17" sheetId="48" state="hidden" r:id="rId19"/>
    <sheet name="Hour 18" sheetId="47" state="hidden" r:id="rId20"/>
    <sheet name="Hour 19" sheetId="46" state="hidden" r:id="rId21"/>
    <sheet name="Hour 20" sheetId="45" state="hidden" r:id="rId22"/>
    <sheet name="Hour 21" sheetId="44" state="hidden" r:id="rId23"/>
    <sheet name="Hour 22" sheetId="43" state="hidden" r:id="rId24"/>
    <sheet name="Hour 23" sheetId="42" state="hidden" r:id="rId25"/>
  </sheets>
  <definedNames>
    <definedName name="solver_eng" localSheetId="1" hidden="1">1</definedName>
    <definedName name="solver_eng" localSheetId="2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6" hidden="1">1</definedName>
    <definedName name="solver_eng" localSheetId="17" hidden="1">1</definedName>
    <definedName name="solver_eng" localSheetId="18" hidden="1">1</definedName>
    <definedName name="solver_eng" localSheetId="19" hidden="1">1</definedName>
    <definedName name="solver_eng" localSheetId="20" hidden="1">1</definedName>
    <definedName name="solver_eng" localSheetId="3" hidden="1">1</definedName>
    <definedName name="solver_eng" localSheetId="21" hidden="1">1</definedName>
    <definedName name="solver_eng" localSheetId="22" hidden="1">1</definedName>
    <definedName name="solver_eng" localSheetId="23" hidden="1">1</definedName>
    <definedName name="solver_eng" localSheetId="24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5" hidden="1">1</definedName>
    <definedName name="solver_lin" localSheetId="1" hidden="1">2</definedName>
    <definedName name="solver_lin" localSheetId="2" hidden="1">2</definedName>
    <definedName name="solver_lin" localSheetId="11" hidden="1">2</definedName>
    <definedName name="solver_lin" localSheetId="12" hidden="1">2</definedName>
    <definedName name="solver_lin" localSheetId="13" hidden="1">2</definedName>
    <definedName name="solver_lin" localSheetId="14" hidden="1">2</definedName>
    <definedName name="solver_lin" localSheetId="16" hidden="1">2</definedName>
    <definedName name="solver_lin" localSheetId="17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lin" localSheetId="3" hidden="1">2</definedName>
    <definedName name="solver_lin" localSheetId="21" hidden="1">2</definedName>
    <definedName name="solver_lin" localSheetId="22" hidden="1">2</definedName>
    <definedName name="solver_lin" localSheetId="23" hidden="1">2</definedName>
    <definedName name="solver_lin" localSheetId="24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5" hidden="1">2</definedName>
    <definedName name="solver_neg" localSheetId="1" hidden="1">1</definedName>
    <definedName name="solver_neg" localSheetId="2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20" hidden="1">1</definedName>
    <definedName name="solver_neg" localSheetId="3" hidden="1">1</definedName>
    <definedName name="solver_neg" localSheetId="21" hidden="1">1</definedName>
    <definedName name="solver_neg" localSheetId="22" hidden="1">1</definedName>
    <definedName name="solver_neg" localSheetId="23" hidden="1">1</definedName>
    <definedName name="solver_neg" localSheetId="24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5" hidden="1">1</definedName>
    <definedName name="solver_num" localSheetId="1" hidden="1">0</definedName>
    <definedName name="solver_num" localSheetId="2" hidden="1">0</definedName>
    <definedName name="solver_num" localSheetId="11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6" hidden="1">0</definedName>
    <definedName name="solver_num" localSheetId="17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um" localSheetId="3" hidden="1">0</definedName>
    <definedName name="solver_num" localSheetId="21" hidden="1">0</definedName>
    <definedName name="solver_num" localSheetId="22" hidden="1">0</definedName>
    <definedName name="solver_num" localSheetId="23" hidden="1">0</definedName>
    <definedName name="solver_num" localSheetId="24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5" hidden="1">0</definedName>
    <definedName name="solver_opt" localSheetId="1" hidden="1">'Hour 0'!$C$1</definedName>
    <definedName name="solver_opt" localSheetId="2" hidden="1">'Hour 1'!$C$1</definedName>
    <definedName name="solver_opt" localSheetId="11" hidden="1">'Hour 10'!$C$1</definedName>
    <definedName name="solver_opt" localSheetId="12" hidden="1">'Hour 11'!$C$1</definedName>
    <definedName name="solver_opt" localSheetId="13" hidden="1">'Hour 12'!$C$1</definedName>
    <definedName name="solver_opt" localSheetId="14" hidden="1">'Hour 13'!$C$1</definedName>
    <definedName name="solver_opt" localSheetId="16" hidden="1">'Hour 15'!$C$1</definedName>
    <definedName name="solver_opt" localSheetId="17" hidden="1">'Hour 16'!$C$1</definedName>
    <definedName name="solver_opt" localSheetId="18" hidden="1">'Hour 17'!$C$1</definedName>
    <definedName name="solver_opt" localSheetId="19" hidden="1">'Hour 18'!$C$1</definedName>
    <definedName name="solver_opt" localSheetId="20" hidden="1">'Hour 19'!$C$1</definedName>
    <definedName name="solver_opt" localSheetId="3" hidden="1">'Hour 2'!$C$1</definedName>
    <definedName name="solver_opt" localSheetId="21" hidden="1">'Hour 20'!$C$1</definedName>
    <definedName name="solver_opt" localSheetId="22" hidden="1">'Hour 21'!$C$1</definedName>
    <definedName name="solver_opt" localSheetId="23" hidden="1">'Hour 22'!$C$1</definedName>
    <definedName name="solver_opt" localSheetId="24" hidden="1">'Hour 23'!$C$1</definedName>
    <definedName name="solver_opt" localSheetId="4" hidden="1">'Hour 3'!$C$1</definedName>
    <definedName name="solver_opt" localSheetId="5" hidden="1">'Hour 4'!$C$1</definedName>
    <definedName name="solver_opt" localSheetId="6" hidden="1">'Hour 5'!$C$1</definedName>
    <definedName name="solver_opt" localSheetId="7" hidden="1">'Hour 6'!$C$1</definedName>
    <definedName name="solver_opt" localSheetId="8" hidden="1">'Hour 7'!$C$1</definedName>
    <definedName name="solver_opt" localSheetId="9" hidden="1">'Hour 8'!$C$1</definedName>
    <definedName name="solver_opt" localSheetId="10" hidden="1">'Hour 9'!$C$1</definedName>
    <definedName name="solver_opt" localSheetId="15" hidden="1">Hour14!$C$1</definedName>
    <definedName name="solver_typ" localSheetId="1" hidden="1">1</definedName>
    <definedName name="solver_typ" localSheetId="2" hidden="1">1</definedName>
    <definedName name="solver_typ" localSheetId="11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6" hidden="1">1</definedName>
    <definedName name="solver_typ" localSheetId="17" hidden="1">1</definedName>
    <definedName name="solver_typ" localSheetId="18" hidden="1">1</definedName>
    <definedName name="solver_typ" localSheetId="19" hidden="1">1</definedName>
    <definedName name="solver_typ" localSheetId="20" hidden="1">1</definedName>
    <definedName name="solver_typ" localSheetId="3" hidden="1">1</definedName>
    <definedName name="solver_typ" localSheetId="21" hidden="1">1</definedName>
    <definedName name="solver_typ" localSheetId="22" hidden="1">1</definedName>
    <definedName name="solver_typ" localSheetId="23" hidden="1">1</definedName>
    <definedName name="solver_typ" localSheetId="24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5" hidden="1">1</definedName>
    <definedName name="solver_val" localSheetId="1" hidden="1">0</definedName>
    <definedName name="solver_val" localSheetId="2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3" hidden="1">0</definedName>
    <definedName name="solver_val" localSheetId="21" hidden="1">0</definedName>
    <definedName name="solver_val" localSheetId="22" hidden="1">0</definedName>
    <definedName name="solver_val" localSheetId="23" hidden="1">0</definedName>
    <definedName name="solver_val" localSheetId="24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5" hidden="1">0</definedName>
    <definedName name="solver_ver" localSheetId="1" hidden="1">2</definedName>
    <definedName name="solver_ver" localSheetId="2" hidden="1">2</definedName>
    <definedName name="solver_ver" localSheetId="11" hidden="1">2</definedName>
    <definedName name="solver_ver" localSheetId="12" hidden="1">2</definedName>
    <definedName name="solver_ver" localSheetId="13" hidden="1">2</definedName>
    <definedName name="solver_ver" localSheetId="14" hidden="1">2</definedName>
    <definedName name="solver_ver" localSheetId="16" hidden="1">2</definedName>
    <definedName name="solver_ver" localSheetId="17" hidden="1">2</definedName>
    <definedName name="solver_ver" localSheetId="18" hidden="1">2</definedName>
    <definedName name="solver_ver" localSheetId="19" hidden="1">2</definedName>
    <definedName name="solver_ver" localSheetId="20" hidden="1">2</definedName>
    <definedName name="solver_ver" localSheetId="3" hidden="1">2</definedName>
    <definedName name="solver_ver" localSheetId="21" hidden="1">2</definedName>
    <definedName name="solver_ver" localSheetId="22" hidden="1">2</definedName>
    <definedName name="solver_ver" localSheetId="23" hidden="1">2</definedName>
    <definedName name="solver_ver" localSheetId="24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er" localSheetId="7" hidden="1">2</definedName>
    <definedName name="solver_ver" localSheetId="8" hidden="1">2</definedName>
    <definedName name="solver_ver" localSheetId="9" hidden="1">2</definedName>
    <definedName name="solver_ver" localSheetId="10" hidden="1">2</definedName>
    <definedName name="solver_ver" localSheetId="15" hidden="1">2</definedName>
  </definedNames>
  <calcPr calcId="19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42" l="1"/>
  <c r="C7" i="42"/>
  <c r="C15" i="42" s="1"/>
  <c r="C9" i="42"/>
  <c r="C4" i="43"/>
  <c r="C7" i="43"/>
  <c r="C9" i="43"/>
  <c r="C4" i="44"/>
  <c r="C14" i="44" s="1"/>
  <c r="C7" i="44"/>
  <c r="C9" i="44"/>
  <c r="C4" i="45"/>
  <c r="C7" i="45"/>
  <c r="C9" i="45"/>
  <c r="C4" i="46"/>
  <c r="C7" i="46"/>
  <c r="C9" i="46"/>
  <c r="C4" i="47"/>
  <c r="C7" i="47"/>
  <c r="C9" i="47"/>
  <c r="C4" i="48"/>
  <c r="C14" i="48" s="1"/>
  <c r="C7" i="48"/>
  <c r="C9" i="48"/>
  <c r="C4" i="49"/>
  <c r="C7" i="49"/>
  <c r="C9" i="49"/>
  <c r="C4" i="11"/>
  <c r="C7" i="11"/>
  <c r="C9" i="11"/>
  <c r="C4" i="37"/>
  <c r="C14" i="37" s="1"/>
  <c r="C17" i="37" s="1"/>
  <c r="C7" i="37"/>
  <c r="C15" i="37" s="1"/>
  <c r="C9" i="37"/>
  <c r="C4" i="38"/>
  <c r="C7" i="38"/>
  <c r="C9" i="38"/>
  <c r="C4" i="39"/>
  <c r="C7" i="39"/>
  <c r="C9" i="39"/>
  <c r="C4" i="40"/>
  <c r="C7" i="40"/>
  <c r="C9" i="40"/>
  <c r="C4" i="41"/>
  <c r="C7" i="41"/>
  <c r="C9" i="41"/>
  <c r="C4" i="27"/>
  <c r="C14" i="27" s="1"/>
  <c r="C7" i="27"/>
  <c r="C9" i="27"/>
  <c r="C4" i="29"/>
  <c r="C7" i="29"/>
  <c r="C9" i="29"/>
  <c r="C4" i="28"/>
  <c r="C7" i="28"/>
  <c r="C9" i="28"/>
  <c r="C4" i="30"/>
  <c r="C7" i="30"/>
  <c r="C9" i="30"/>
  <c r="C4" i="31"/>
  <c r="C7" i="31"/>
  <c r="C15" i="31" s="1"/>
  <c r="C9" i="31"/>
  <c r="C4" i="32"/>
  <c r="C7" i="32"/>
  <c r="C9" i="32"/>
  <c r="C4" i="33"/>
  <c r="C7" i="33"/>
  <c r="C15" i="33" s="1"/>
  <c r="C9" i="33"/>
  <c r="C4" i="34"/>
  <c r="C14" i="34" s="1"/>
  <c r="C7" i="34"/>
  <c r="C9" i="34"/>
  <c r="C4" i="35"/>
  <c r="C7" i="35"/>
  <c r="C9" i="35"/>
  <c r="C4" i="36"/>
  <c r="C7" i="36"/>
  <c r="C9" i="36"/>
  <c r="C6" i="35"/>
  <c r="C5" i="35"/>
  <c r="C6" i="34"/>
  <c r="C5" i="34"/>
  <c r="C6" i="33"/>
  <c r="C5" i="33"/>
  <c r="C12" i="33" s="1"/>
  <c r="C6" i="32"/>
  <c r="C5" i="32"/>
  <c r="C6" i="31"/>
  <c r="C5" i="31"/>
  <c r="C6" i="30"/>
  <c r="C5" i="30"/>
  <c r="C6" i="29"/>
  <c r="C5" i="29"/>
  <c r="C6" i="28"/>
  <c r="C5" i="28"/>
  <c r="C6" i="27"/>
  <c r="C5" i="27"/>
  <c r="C6" i="41"/>
  <c r="C13" i="41"/>
  <c r="C5" i="41"/>
  <c r="C6" i="40"/>
  <c r="C13" i="40"/>
  <c r="C5" i="40"/>
  <c r="C12" i="40" s="1"/>
  <c r="C6" i="39"/>
  <c r="C5" i="39"/>
  <c r="C6" i="38"/>
  <c r="C5" i="38"/>
  <c r="C6" i="37"/>
  <c r="C5" i="37"/>
  <c r="C12" i="37"/>
  <c r="C6" i="11"/>
  <c r="C5" i="11"/>
  <c r="C6" i="49"/>
  <c r="C13" i="49"/>
  <c r="C5" i="49"/>
  <c r="C6" i="48"/>
  <c r="C13" i="48" s="1"/>
  <c r="C5" i="48"/>
  <c r="C6" i="47"/>
  <c r="C5" i="47"/>
  <c r="C6" i="46"/>
  <c r="C13" i="46" s="1"/>
  <c r="C5" i="46"/>
  <c r="C6" i="45"/>
  <c r="C5" i="45"/>
  <c r="C6" i="44"/>
  <c r="C13" i="44" s="1"/>
  <c r="C5" i="44"/>
  <c r="C12" i="44"/>
  <c r="C6" i="43"/>
  <c r="C5" i="43"/>
  <c r="C6" i="42"/>
  <c r="C13" i="42" s="1"/>
  <c r="C5" i="42"/>
  <c r="C12" i="42" s="1"/>
  <c r="C6" i="36"/>
  <c r="C5" i="36"/>
  <c r="C12" i="36"/>
  <c r="C20" i="48"/>
  <c r="C11" i="49"/>
  <c r="C20" i="49"/>
  <c r="C11" i="48"/>
  <c r="C11" i="47"/>
  <c r="C20" i="47"/>
  <c r="C11" i="46"/>
  <c r="C20" i="46"/>
  <c r="C11" i="45"/>
  <c r="C20" i="45"/>
  <c r="C11" i="44"/>
  <c r="C20" i="44"/>
  <c r="C11" i="43"/>
  <c r="C20" i="43"/>
  <c r="C11" i="42"/>
  <c r="C14" i="42" s="1"/>
  <c r="C20" i="42"/>
  <c r="C11" i="41"/>
  <c r="C20" i="41"/>
  <c r="C11" i="40"/>
  <c r="C20" i="40"/>
  <c r="C11" i="39"/>
  <c r="C11" i="38"/>
  <c r="C11" i="37"/>
  <c r="C20" i="37"/>
  <c r="C11" i="36"/>
  <c r="C11" i="35"/>
  <c r="C12" i="35" s="1"/>
  <c r="C20" i="35"/>
  <c r="C11" i="34"/>
  <c r="C11" i="33"/>
  <c r="C20" i="33"/>
  <c r="C11" i="32"/>
  <c r="C11" i="31"/>
  <c r="C20" i="31"/>
  <c r="C11" i="30"/>
  <c r="C11" i="29"/>
  <c r="C20" i="29"/>
  <c r="C11" i="28"/>
  <c r="C11" i="27"/>
  <c r="C20" i="27"/>
  <c r="C11" i="11"/>
  <c r="C15" i="48" l="1"/>
  <c r="C15" i="40"/>
  <c r="C15" i="44"/>
  <c r="C17" i="44"/>
  <c r="C14" i="46"/>
  <c r="C13" i="37"/>
  <c r="C14" i="33"/>
  <c r="C21" i="33" s="1"/>
  <c r="C22" i="33" s="1"/>
  <c r="C21" i="44"/>
  <c r="C22" i="44" s="1"/>
  <c r="C29" i="44" s="1"/>
  <c r="C14" i="41"/>
  <c r="C13" i="32"/>
  <c r="C20" i="32"/>
  <c r="C14" i="32"/>
  <c r="C21" i="48"/>
  <c r="C22" i="48" s="1"/>
  <c r="C17" i="48"/>
  <c r="C15" i="30"/>
  <c r="C20" i="30"/>
  <c r="C12" i="30"/>
  <c r="C20" i="38"/>
  <c r="C12" i="38"/>
  <c r="C15" i="49"/>
  <c r="C12" i="49"/>
  <c r="C12" i="28"/>
  <c r="C14" i="28"/>
  <c r="C20" i="28"/>
  <c r="C14" i="36"/>
  <c r="C20" i="36"/>
  <c r="C15" i="39"/>
  <c r="C12" i="39"/>
  <c r="C20" i="39"/>
  <c r="C13" i="39"/>
  <c r="C13" i="43"/>
  <c r="C14" i="43"/>
  <c r="C15" i="45"/>
  <c r="C12" i="45"/>
  <c r="C14" i="47"/>
  <c r="C12" i="47"/>
  <c r="C13" i="36"/>
  <c r="C12" i="43"/>
  <c r="C14" i="11"/>
  <c r="C13" i="11"/>
  <c r="C20" i="11"/>
  <c r="C15" i="11"/>
  <c r="C12" i="34"/>
  <c r="C15" i="34"/>
  <c r="C20" i="34"/>
  <c r="C13" i="45"/>
  <c r="C13" i="47"/>
  <c r="C13" i="34"/>
  <c r="C15" i="43"/>
  <c r="C14" i="39"/>
  <c r="C14" i="45"/>
  <c r="C12" i="27"/>
  <c r="C13" i="33"/>
  <c r="C13" i="35"/>
  <c r="C14" i="30"/>
  <c r="C15" i="47"/>
  <c r="C13" i="28"/>
  <c r="C21" i="37"/>
  <c r="C22" i="37" s="1"/>
  <c r="C15" i="29"/>
  <c r="C12" i="29"/>
  <c r="C12" i="31"/>
  <c r="C13" i="31"/>
  <c r="C12" i="11"/>
  <c r="C12" i="32"/>
  <c r="C15" i="35"/>
  <c r="C15" i="28"/>
  <c r="C15" i="41"/>
  <c r="C14" i="38"/>
  <c r="C21" i="42"/>
  <c r="C22" i="42" s="1"/>
  <c r="C17" i="42"/>
  <c r="C12" i="46"/>
  <c r="C12" i="48"/>
  <c r="C13" i="38"/>
  <c r="C12" i="41"/>
  <c r="C13" i="27"/>
  <c r="C13" i="29"/>
  <c r="C14" i="29"/>
  <c r="C14" i="49"/>
  <c r="C15" i="46"/>
  <c r="C21" i="46" s="1"/>
  <c r="C22" i="46" s="1"/>
  <c r="C14" i="35"/>
  <c r="C14" i="31"/>
  <c r="C15" i="27"/>
  <c r="C17" i="27" s="1"/>
  <c r="C15" i="38"/>
  <c r="C13" i="30"/>
  <c r="C15" i="36"/>
  <c r="C15" i="32"/>
  <c r="C14" i="40"/>
  <c r="C17" i="33" l="1"/>
  <c r="C21" i="41"/>
  <c r="C22" i="41" s="1"/>
  <c r="C23" i="41" s="1"/>
  <c r="C17" i="46"/>
  <c r="C21" i="27"/>
  <c r="C22" i="27" s="1"/>
  <c r="C29" i="27" s="1"/>
  <c r="C30" i="27" s="1"/>
  <c r="C31" i="27" s="1"/>
  <c r="C23" i="44"/>
  <c r="C27" i="44" s="1"/>
  <c r="C28" i="44" s="1"/>
  <c r="E2" i="44" s="1"/>
  <c r="I24" i="3" s="1"/>
  <c r="G9" i="36"/>
  <c r="C21" i="31"/>
  <c r="C22" i="31" s="1"/>
  <c r="C17" i="31"/>
  <c r="C17" i="29"/>
  <c r="C21" i="29"/>
  <c r="C22" i="29" s="1"/>
  <c r="C17" i="38"/>
  <c r="C21" i="38"/>
  <c r="C22" i="38" s="1"/>
  <c r="C21" i="39"/>
  <c r="C22" i="39" s="1"/>
  <c r="C17" i="39"/>
  <c r="C29" i="41"/>
  <c r="C30" i="41" s="1"/>
  <c r="C31" i="41" s="1"/>
  <c r="C23" i="33"/>
  <c r="C29" i="33"/>
  <c r="C23" i="48"/>
  <c r="C29" i="48"/>
  <c r="C30" i="48" s="1"/>
  <c r="C31" i="48" s="1"/>
  <c r="C21" i="35"/>
  <c r="C22" i="35" s="1"/>
  <c r="C17" i="35"/>
  <c r="C29" i="46"/>
  <c r="C30" i="46" s="1"/>
  <c r="C31" i="46" s="1"/>
  <c r="C23" i="46"/>
  <c r="C24" i="44"/>
  <c r="C25" i="44" s="1"/>
  <c r="C17" i="41"/>
  <c r="C17" i="32"/>
  <c r="C21" i="32"/>
  <c r="C22" i="32" s="1"/>
  <c r="C23" i="27"/>
  <c r="C21" i="40"/>
  <c r="C22" i="40" s="1"/>
  <c r="C17" i="40"/>
  <c r="C21" i="11"/>
  <c r="C22" i="11" s="1"/>
  <c r="C17" i="11"/>
  <c r="C21" i="43"/>
  <c r="C22" i="43" s="1"/>
  <c r="C17" i="43"/>
  <c r="C21" i="28"/>
  <c r="C22" i="28" s="1"/>
  <c r="C17" i="28"/>
  <c r="C17" i="34"/>
  <c r="C21" i="49"/>
  <c r="C22" i="49" s="1"/>
  <c r="C17" i="49"/>
  <c r="C29" i="42"/>
  <c r="C30" i="42" s="1"/>
  <c r="C31" i="42" s="1"/>
  <c r="C23" i="42"/>
  <c r="C23" i="37"/>
  <c r="C29" i="37"/>
  <c r="C17" i="30"/>
  <c r="C21" i="30"/>
  <c r="C22" i="30" s="1"/>
  <c r="C21" i="45"/>
  <c r="C22" i="45" s="1"/>
  <c r="C17" i="45"/>
  <c r="C30" i="44"/>
  <c r="C31" i="44" s="1"/>
  <c r="C21" i="47"/>
  <c r="C22" i="47" s="1"/>
  <c r="C17" i="47"/>
  <c r="C21" i="36"/>
  <c r="C22" i="36" s="1"/>
  <c r="G8" i="36"/>
  <c r="G10" i="36" s="1"/>
  <c r="G11" i="36" s="1"/>
  <c r="G12" i="36" s="1"/>
  <c r="G13" i="36" s="1"/>
  <c r="G14" i="36" s="1"/>
  <c r="D8" i="3" s="1"/>
  <c r="C17" i="36"/>
  <c r="C21" i="34"/>
  <c r="C22" i="34" s="1"/>
  <c r="C32" i="27" l="1"/>
  <c r="C33" i="27"/>
  <c r="C18" i="27" s="1"/>
  <c r="C32" i="46"/>
  <c r="C33" i="46"/>
  <c r="C18" i="46" s="1"/>
  <c r="C23" i="34"/>
  <c r="C29" i="34"/>
  <c r="C30" i="34" s="1"/>
  <c r="C31" i="34" s="1"/>
  <c r="C23" i="30"/>
  <c r="C29" i="30"/>
  <c r="C30" i="30" s="1"/>
  <c r="C31" i="30" s="1"/>
  <c r="C24" i="33"/>
  <c r="C25" i="33" s="1"/>
  <c r="C27" i="33"/>
  <c r="C28" i="33" s="1"/>
  <c r="E2" i="33" s="1"/>
  <c r="I6" i="3" s="1"/>
  <c r="C33" i="41"/>
  <c r="C18" i="41" s="1"/>
  <c r="C32" i="41"/>
  <c r="C29" i="36"/>
  <c r="C30" i="36" s="1"/>
  <c r="C31" i="36" s="1"/>
  <c r="C23" i="36"/>
  <c r="C32" i="44"/>
  <c r="C33" i="44"/>
  <c r="C18" i="44" s="1"/>
  <c r="C29" i="40"/>
  <c r="C30" i="40" s="1"/>
  <c r="C31" i="40" s="1"/>
  <c r="C23" i="40"/>
  <c r="C24" i="48"/>
  <c r="C25" i="48" s="1"/>
  <c r="C27" i="48"/>
  <c r="C28" i="48" s="1"/>
  <c r="C23" i="39"/>
  <c r="C29" i="39"/>
  <c r="C30" i="39" s="1"/>
  <c r="C31" i="39" s="1"/>
  <c r="C23" i="28"/>
  <c r="C29" i="28"/>
  <c r="C29" i="31"/>
  <c r="C23" i="31"/>
  <c r="C23" i="47"/>
  <c r="C29" i="47"/>
  <c r="C30" i="37"/>
  <c r="C31" i="37" s="1"/>
  <c r="C27" i="42"/>
  <c r="C28" i="42" s="1"/>
  <c r="E2" i="42" s="1"/>
  <c r="I26" i="3" s="1"/>
  <c r="C24" i="42"/>
  <c r="C25" i="42" s="1"/>
  <c r="C23" i="49"/>
  <c r="C29" i="49"/>
  <c r="C30" i="49" s="1"/>
  <c r="C31" i="49" s="1"/>
  <c r="C29" i="11"/>
  <c r="C23" i="11"/>
  <c r="C24" i="27"/>
  <c r="C25" i="27" s="1"/>
  <c r="C27" i="27"/>
  <c r="C28" i="27" s="1"/>
  <c r="E2" i="27" s="1"/>
  <c r="I12" i="3" s="1"/>
  <c r="C29" i="35"/>
  <c r="C30" i="35" s="1"/>
  <c r="C31" i="35" s="1"/>
  <c r="C23" i="35"/>
  <c r="C27" i="41"/>
  <c r="C28" i="41" s="1"/>
  <c r="E2" i="41" s="1"/>
  <c r="I13" i="3" s="1"/>
  <c r="C24" i="41"/>
  <c r="C25" i="41" s="1"/>
  <c r="C23" i="29"/>
  <c r="C29" i="29"/>
  <c r="C23" i="45"/>
  <c r="C29" i="45"/>
  <c r="C27" i="37"/>
  <c r="C28" i="37" s="1"/>
  <c r="E2" i="37" s="1"/>
  <c r="I17" i="3" s="1"/>
  <c r="C24" i="37"/>
  <c r="C25" i="37" s="1"/>
  <c r="C32" i="42"/>
  <c r="C33" i="42"/>
  <c r="C18" i="42" s="1"/>
  <c r="C23" i="43"/>
  <c r="C29" i="43"/>
  <c r="C29" i="32"/>
  <c r="C23" i="32"/>
  <c r="C27" i="46"/>
  <c r="C28" i="46" s="1"/>
  <c r="E2" i="46" s="1"/>
  <c r="I22" i="3" s="1"/>
  <c r="C24" i="46"/>
  <c r="C25" i="46" s="1"/>
  <c r="C32" i="48"/>
  <c r="C33" i="48"/>
  <c r="C18" i="48" s="1"/>
  <c r="C30" i="33"/>
  <c r="C31" i="33" s="1"/>
  <c r="C23" i="38"/>
  <c r="C29" i="38"/>
  <c r="C34" i="48" l="1"/>
  <c r="C34" i="42"/>
  <c r="C34" i="41"/>
  <c r="C34" i="44"/>
  <c r="C34" i="46"/>
  <c r="C34" i="27"/>
  <c r="C30" i="32"/>
  <c r="C31" i="32" s="1"/>
  <c r="C30" i="45"/>
  <c r="C31" i="45" s="1"/>
  <c r="C33" i="35"/>
  <c r="C18" i="35" s="1"/>
  <c r="C32" i="35"/>
  <c r="C34" i="35" s="1"/>
  <c r="C30" i="11"/>
  <c r="C31" i="11" s="1"/>
  <c r="C27" i="47"/>
  <c r="C28" i="47" s="1"/>
  <c r="E2" i="47" s="1"/>
  <c r="I21" i="3" s="1"/>
  <c r="C24" i="47"/>
  <c r="C25" i="47" s="1"/>
  <c r="C27" i="39"/>
  <c r="C28" i="39" s="1"/>
  <c r="E2" i="39" s="1"/>
  <c r="I15" i="3" s="1"/>
  <c r="C24" i="39"/>
  <c r="C25" i="39" s="1"/>
  <c r="C27" i="40"/>
  <c r="C28" i="40" s="1"/>
  <c r="E2" i="40" s="1"/>
  <c r="I14" i="3" s="1"/>
  <c r="C24" i="40"/>
  <c r="C25" i="40" s="1"/>
  <c r="C24" i="30"/>
  <c r="C25" i="30" s="1"/>
  <c r="C27" i="30"/>
  <c r="C28" i="30" s="1"/>
  <c r="E2" i="30" s="1"/>
  <c r="I9" i="3" s="1"/>
  <c r="C32" i="33"/>
  <c r="C33" i="33"/>
  <c r="C18" i="33" s="1"/>
  <c r="C35" i="42"/>
  <c r="C37" i="42" s="1"/>
  <c r="C38" i="42" s="1"/>
  <c r="C39" i="42" s="1"/>
  <c r="C26" i="42" s="1"/>
  <c r="D2" i="42" s="1"/>
  <c r="H26" i="3" s="1"/>
  <c r="J26" i="3" s="1"/>
  <c r="C27" i="45"/>
  <c r="C28" i="45" s="1"/>
  <c r="E2" i="45" s="1"/>
  <c r="I23" i="3" s="1"/>
  <c r="C24" i="45"/>
  <c r="C25" i="45" s="1"/>
  <c r="C27" i="31"/>
  <c r="C28" i="31" s="1"/>
  <c r="E2" i="31" s="1"/>
  <c r="I8" i="3" s="1"/>
  <c r="C24" i="31"/>
  <c r="C25" i="31" s="1"/>
  <c r="C30" i="28"/>
  <c r="C31" i="28" s="1"/>
  <c r="C33" i="40"/>
  <c r="C18" i="40" s="1"/>
  <c r="C32" i="40"/>
  <c r="C27" i="36"/>
  <c r="C28" i="36" s="1"/>
  <c r="E2" i="36" s="1"/>
  <c r="I27" i="3" s="1"/>
  <c r="C24" i="36"/>
  <c r="C25" i="36" s="1"/>
  <c r="C32" i="34"/>
  <c r="C33" i="34"/>
  <c r="C18" i="34" s="1"/>
  <c r="C35" i="46"/>
  <c r="C37" i="46" s="1"/>
  <c r="C38" i="46" s="1"/>
  <c r="C39" i="46" s="1"/>
  <c r="C26" i="46" s="1"/>
  <c r="D2" i="46" s="1"/>
  <c r="H22" i="3" s="1"/>
  <c r="J22" i="3" s="1"/>
  <c r="C30" i="38"/>
  <c r="C31" i="38" s="1"/>
  <c r="C35" i="48"/>
  <c r="C37" i="48" s="1"/>
  <c r="C38" i="48" s="1"/>
  <c r="C39" i="48" s="1"/>
  <c r="C26" i="48" s="1"/>
  <c r="D2" i="48" s="1"/>
  <c r="H20" i="3" s="1"/>
  <c r="C30" i="43"/>
  <c r="C31" i="43" s="1"/>
  <c r="C30" i="29"/>
  <c r="C31" i="29" s="1"/>
  <c r="C24" i="49"/>
  <c r="C25" i="49" s="1"/>
  <c r="C27" i="49"/>
  <c r="C28" i="49" s="1"/>
  <c r="E2" i="49" s="1"/>
  <c r="I19" i="3" s="1"/>
  <c r="C32" i="37"/>
  <c r="C33" i="37"/>
  <c r="C18" i="37" s="1"/>
  <c r="C30" i="31"/>
  <c r="C31" i="31" s="1"/>
  <c r="C24" i="28"/>
  <c r="C25" i="28" s="1"/>
  <c r="C27" i="28"/>
  <c r="C28" i="28" s="1"/>
  <c r="E2" i="28" s="1"/>
  <c r="I11" i="3" s="1"/>
  <c r="C35" i="44"/>
  <c r="C37" i="44" s="1"/>
  <c r="C38" i="44" s="1"/>
  <c r="C39" i="44" s="1"/>
  <c r="C26" i="44" s="1"/>
  <c r="D2" i="44" s="1"/>
  <c r="H24" i="3" s="1"/>
  <c r="J24" i="3" s="1"/>
  <c r="C33" i="36"/>
  <c r="C18" i="36" s="1"/>
  <c r="C32" i="36"/>
  <c r="C24" i="34"/>
  <c r="C25" i="34" s="1"/>
  <c r="C27" i="34"/>
  <c r="C28" i="34" s="1"/>
  <c r="E2" i="34" s="1"/>
  <c r="I5" i="3" s="1"/>
  <c r="C33" i="49"/>
  <c r="C18" i="49" s="1"/>
  <c r="C32" i="49"/>
  <c r="C24" i="38"/>
  <c r="C25" i="38" s="1"/>
  <c r="C27" i="38"/>
  <c r="C28" i="38" s="1"/>
  <c r="E2" i="38" s="1"/>
  <c r="I16" i="3" s="1"/>
  <c r="C27" i="32"/>
  <c r="C28" i="32" s="1"/>
  <c r="E2" i="32" s="1"/>
  <c r="I7" i="3" s="1"/>
  <c r="C24" i="32"/>
  <c r="C25" i="32" s="1"/>
  <c r="C27" i="43"/>
  <c r="C28" i="43" s="1"/>
  <c r="E2" i="43" s="1"/>
  <c r="I25" i="3" s="1"/>
  <c r="C24" i="43"/>
  <c r="C25" i="43" s="1"/>
  <c r="C27" i="29"/>
  <c r="C28" i="29" s="1"/>
  <c r="E2" i="29" s="1"/>
  <c r="C24" i="29"/>
  <c r="C25" i="29" s="1"/>
  <c r="C27" i="35"/>
  <c r="C28" i="35" s="1"/>
  <c r="E2" i="35" s="1"/>
  <c r="I4" i="3" s="1"/>
  <c r="C24" i="35"/>
  <c r="C25" i="35" s="1"/>
  <c r="C27" i="11"/>
  <c r="C28" i="11" s="1"/>
  <c r="E2" i="11" s="1"/>
  <c r="I18" i="3" s="1"/>
  <c r="C24" i="11"/>
  <c r="C25" i="11" s="1"/>
  <c r="C30" i="47"/>
  <c r="C31" i="47" s="1"/>
  <c r="C33" i="39"/>
  <c r="C18" i="39" s="1"/>
  <c r="C32" i="39"/>
  <c r="C34" i="39" s="1"/>
  <c r="C35" i="41"/>
  <c r="C37" i="41" s="1"/>
  <c r="C38" i="41" s="1"/>
  <c r="C39" i="41" s="1"/>
  <c r="C26" i="41" s="1"/>
  <c r="D2" i="41" s="1"/>
  <c r="H13" i="3" s="1"/>
  <c r="J13" i="3" s="1"/>
  <c r="C32" i="30"/>
  <c r="C33" i="30"/>
  <c r="C18" i="30" s="1"/>
  <c r="C35" i="27"/>
  <c r="C37" i="27" s="1"/>
  <c r="C38" i="27" s="1"/>
  <c r="C39" i="27" s="1"/>
  <c r="C26" i="27" s="1"/>
  <c r="D2" i="27" s="1"/>
  <c r="H12" i="3" s="1"/>
  <c r="J12" i="3" s="1"/>
  <c r="C34" i="40" l="1"/>
  <c r="C34" i="36"/>
  <c r="C34" i="34"/>
  <c r="C35" i="34" s="1"/>
  <c r="C37" i="34" s="1"/>
  <c r="C38" i="34" s="1"/>
  <c r="C39" i="34" s="1"/>
  <c r="C26" i="34" s="1"/>
  <c r="D2" i="34" s="1"/>
  <c r="H5" i="3" s="1"/>
  <c r="J5" i="3" s="1"/>
  <c r="C34" i="33"/>
  <c r="C35" i="33" s="1"/>
  <c r="C37" i="33" s="1"/>
  <c r="C38" i="33" s="1"/>
  <c r="C39" i="33" s="1"/>
  <c r="C26" i="33" s="1"/>
  <c r="D2" i="33" s="1"/>
  <c r="H6" i="3" s="1"/>
  <c r="J6" i="3" s="1"/>
  <c r="C34" i="30"/>
  <c r="C35" i="30" s="1"/>
  <c r="C37" i="30" s="1"/>
  <c r="C38" i="30" s="1"/>
  <c r="C39" i="30" s="1"/>
  <c r="C26" i="30" s="1"/>
  <c r="D2" i="30" s="1"/>
  <c r="H9" i="3" s="1"/>
  <c r="J9" i="3" s="1"/>
  <c r="C34" i="37"/>
  <c r="C34" i="49"/>
  <c r="I10" i="3"/>
  <c r="I20" i="3"/>
  <c r="J20" i="3" s="1"/>
  <c r="C33" i="31"/>
  <c r="C18" i="31" s="1"/>
  <c r="C32" i="31"/>
  <c r="C34" i="31" s="1"/>
  <c r="C32" i="38"/>
  <c r="C33" i="38"/>
  <c r="C18" i="38" s="1"/>
  <c r="C33" i="11"/>
  <c r="C18" i="11" s="1"/>
  <c r="C32" i="11"/>
  <c r="C34" i="11" s="1"/>
  <c r="C32" i="29"/>
  <c r="C33" i="29"/>
  <c r="C18" i="29" s="1"/>
  <c r="C32" i="47"/>
  <c r="C33" i="47"/>
  <c r="C18" i="47" s="1"/>
  <c r="C35" i="40"/>
  <c r="C37" i="40" s="1"/>
  <c r="C38" i="40" s="1"/>
  <c r="C39" i="40" s="1"/>
  <c r="C26" i="40" s="1"/>
  <c r="D2" i="40" s="1"/>
  <c r="H14" i="3" s="1"/>
  <c r="J14" i="3" s="1"/>
  <c r="C33" i="32"/>
  <c r="C18" i="32" s="1"/>
  <c r="C32" i="32"/>
  <c r="C35" i="36"/>
  <c r="C37" i="36" s="1"/>
  <c r="C38" i="36" s="1"/>
  <c r="C39" i="36" s="1"/>
  <c r="C26" i="36" s="1"/>
  <c r="D2" i="36" s="1"/>
  <c r="H27" i="3" s="1"/>
  <c r="J27" i="3" s="1"/>
  <c r="C35" i="37"/>
  <c r="C37" i="37" s="1"/>
  <c r="C38" i="37" s="1"/>
  <c r="C39" i="37" s="1"/>
  <c r="C26" i="37" s="1"/>
  <c r="D2" i="37" s="1"/>
  <c r="H17" i="3" s="1"/>
  <c r="J17" i="3" s="1"/>
  <c r="C32" i="43"/>
  <c r="C33" i="43"/>
  <c r="C18" i="43" s="1"/>
  <c r="C35" i="39"/>
  <c r="C37" i="39" s="1"/>
  <c r="C38" i="39" s="1"/>
  <c r="C39" i="39" s="1"/>
  <c r="C26" i="39" s="1"/>
  <c r="D2" i="39" s="1"/>
  <c r="H15" i="3" s="1"/>
  <c r="J15" i="3" s="1"/>
  <c r="C35" i="49"/>
  <c r="C37" i="49" s="1"/>
  <c r="C38" i="49" s="1"/>
  <c r="C39" i="49" s="1"/>
  <c r="C26" i="49" s="1"/>
  <c r="D2" i="49" s="1"/>
  <c r="H19" i="3" s="1"/>
  <c r="J19" i="3" s="1"/>
  <c r="C32" i="28"/>
  <c r="C33" i="28"/>
  <c r="C18" i="28" s="1"/>
  <c r="C35" i="35"/>
  <c r="C37" i="35" s="1"/>
  <c r="C38" i="35" s="1"/>
  <c r="C39" i="35" s="1"/>
  <c r="C26" i="35" s="1"/>
  <c r="D2" i="35" s="1"/>
  <c r="H4" i="3" s="1"/>
  <c r="C33" i="45"/>
  <c r="C18" i="45" s="1"/>
  <c r="C32" i="45"/>
  <c r="C34" i="32" l="1"/>
  <c r="C34" i="43"/>
  <c r="C35" i="43" s="1"/>
  <c r="C37" i="43" s="1"/>
  <c r="C38" i="43" s="1"/>
  <c r="C39" i="43" s="1"/>
  <c r="C26" i="43" s="1"/>
  <c r="D2" i="43" s="1"/>
  <c r="H25" i="3" s="1"/>
  <c r="J25" i="3" s="1"/>
  <c r="C34" i="29"/>
  <c r="C34" i="45"/>
  <c r="C35" i="45" s="1"/>
  <c r="C37" i="45" s="1"/>
  <c r="C38" i="45" s="1"/>
  <c r="C39" i="45" s="1"/>
  <c r="C26" i="45" s="1"/>
  <c r="D2" i="45" s="1"/>
  <c r="H23" i="3" s="1"/>
  <c r="J23" i="3" s="1"/>
  <c r="C34" i="28"/>
  <c r="C34" i="47"/>
  <c r="C35" i="47" s="1"/>
  <c r="C37" i="47" s="1"/>
  <c r="C38" i="47" s="1"/>
  <c r="C39" i="47" s="1"/>
  <c r="C26" i="47" s="1"/>
  <c r="D2" i="47" s="1"/>
  <c r="H21" i="3" s="1"/>
  <c r="J21" i="3" s="1"/>
  <c r="C34" i="38"/>
  <c r="C35" i="38" s="1"/>
  <c r="C37" i="38" s="1"/>
  <c r="C38" i="38" s="1"/>
  <c r="C39" i="38" s="1"/>
  <c r="C26" i="38" s="1"/>
  <c r="D2" i="38" s="1"/>
  <c r="H16" i="3" s="1"/>
  <c r="J16" i="3" s="1"/>
  <c r="C35" i="11"/>
  <c r="C37" i="11" s="1"/>
  <c r="C38" i="11" s="1"/>
  <c r="C39" i="11" s="1"/>
  <c r="C26" i="11" s="1"/>
  <c r="D2" i="11" s="1"/>
  <c r="H18" i="3" s="1"/>
  <c r="J18" i="3" s="1"/>
  <c r="C35" i="28"/>
  <c r="C37" i="28" s="1"/>
  <c r="C38" i="28" s="1"/>
  <c r="C39" i="28" s="1"/>
  <c r="C26" i="28" s="1"/>
  <c r="D2" i="28" s="1"/>
  <c r="H11" i="3" s="1"/>
  <c r="J11" i="3" s="1"/>
  <c r="E4" i="3"/>
  <c r="J4" i="3"/>
  <c r="C35" i="29"/>
  <c r="C37" i="29" s="1"/>
  <c r="C38" i="29" s="1"/>
  <c r="C39" i="29" s="1"/>
  <c r="C26" i="29" s="1"/>
  <c r="D2" i="29" s="1"/>
  <c r="H10" i="3" s="1"/>
  <c r="J10" i="3" s="1"/>
  <c r="C35" i="32"/>
  <c r="C37" i="32" s="1"/>
  <c r="C38" i="32" s="1"/>
  <c r="C39" i="32" s="1"/>
  <c r="C26" i="32" s="1"/>
  <c r="D2" i="32" s="1"/>
  <c r="H7" i="3" s="1"/>
  <c r="C35" i="31"/>
  <c r="C37" i="31" s="1"/>
  <c r="C38" i="31" s="1"/>
  <c r="C39" i="31" s="1"/>
  <c r="C26" i="31" s="1"/>
  <c r="D2" i="31" s="1"/>
  <c r="H8" i="3" s="1"/>
  <c r="J8" i="3" s="1"/>
  <c r="J7" i="3" l="1"/>
  <c r="E3" i="3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Ehleringer</author>
  </authors>
  <commentList>
    <comment ref="B5" authorId="0" shapeId="0" xr:uid="{00000000-0006-0000-0000-000001000000}">
      <text>
        <r>
          <rPr>
            <sz val="9"/>
            <color rgb="FF000000"/>
            <rFont val="Times New Roman"/>
            <family val="2"/>
          </rPr>
          <t xml:space="preserve">Suggested latitude values:
</t>
        </r>
        <r>
          <rPr>
            <sz val="9"/>
            <color rgb="FF000000"/>
            <rFont val="Times New Roman"/>
            <family val="2"/>
          </rPr>
          <t xml:space="preserve">0  Manaus, Brazil
</t>
        </r>
        <r>
          <rPr>
            <sz val="9"/>
            <color rgb="FF000000"/>
            <rFont val="Times New Roman"/>
            <family val="2"/>
          </rPr>
          <t xml:space="preserve">10  Caracas, Venezuela
</t>
        </r>
        <r>
          <rPr>
            <sz val="9"/>
            <color rgb="FF000000"/>
            <rFont val="Times New Roman"/>
            <family val="2"/>
          </rPr>
          <t xml:space="preserve">20  Veracruz, Mexico
</t>
        </r>
        <r>
          <rPr>
            <sz val="9"/>
            <color rgb="FF000000"/>
            <rFont val="Times New Roman"/>
            <family val="2"/>
          </rPr>
          <t xml:space="preserve">30  Austin, Texas
</t>
        </r>
        <r>
          <rPr>
            <sz val="9"/>
            <color rgb="FF000000"/>
            <rFont val="Times New Roman"/>
            <family val="2"/>
          </rPr>
          <t xml:space="preserve">41 Salt Lake City
</t>
        </r>
        <r>
          <rPr>
            <sz val="9"/>
            <color rgb="FF000000"/>
            <rFont val="Times New Roman"/>
            <family val="2"/>
          </rPr>
          <t xml:space="preserve">50  Calgary, Canada
</t>
        </r>
        <r>
          <rPr>
            <sz val="9"/>
            <color rgb="FF000000"/>
            <rFont val="Times New Roman"/>
            <family val="2"/>
          </rPr>
          <t>60  Churchill, Canada</t>
        </r>
      </text>
    </comment>
    <comment ref="B6" authorId="0" shapeId="0" xr:uid="{00000000-0006-0000-0000-000002000000}">
      <text>
        <r>
          <rPr>
            <sz val="9"/>
            <color rgb="FF000000"/>
            <rFont val="Times New Roman"/>
            <family val="2"/>
          </rPr>
          <t xml:space="preserve">The slope varies from 0-90 degrees:
</t>
        </r>
        <r>
          <rPr>
            <sz val="9"/>
            <color rgb="FF000000"/>
            <rFont val="Times New Roman"/>
            <family val="2"/>
          </rPr>
          <t xml:space="preserve">     0 degrees is horizintal
</t>
        </r>
        <r>
          <rPr>
            <sz val="9"/>
            <color rgb="FF000000"/>
            <rFont val="Times New Roman"/>
            <family val="2"/>
          </rPr>
          <t xml:space="preserve">    90 degrees is vertical
</t>
        </r>
      </text>
    </comment>
    <comment ref="B7" authorId="0" shapeId="0" xr:uid="{00000000-0006-0000-0000-000003000000}">
      <text>
        <r>
          <rPr>
            <sz val="9"/>
            <color rgb="FF000000"/>
            <rFont val="Times New Roman"/>
            <family val="2"/>
          </rPr>
          <t xml:space="preserve">Azimuth
</t>
        </r>
        <r>
          <rPr>
            <sz val="9"/>
            <color rgb="FF000000"/>
            <rFont val="Times New Roman"/>
            <family val="2"/>
          </rPr>
          <t xml:space="preserve">  -90 is east
</t>
        </r>
        <r>
          <rPr>
            <sz val="9"/>
            <color rgb="FF000000"/>
            <rFont val="Times New Roman"/>
            <family val="2"/>
          </rPr>
          <t xml:space="preserve">   0 is south
</t>
        </r>
        <r>
          <rPr>
            <sz val="9"/>
            <color rgb="FF000000"/>
            <rFont val="Times New Roman"/>
            <family val="2"/>
          </rPr>
          <t xml:space="preserve"> +90 is west
</t>
        </r>
        <r>
          <rPr>
            <sz val="9"/>
            <color rgb="FF000000"/>
            <rFont val="Times New Roman"/>
            <family val="2"/>
          </rPr>
          <t>±</t>
        </r>
        <r>
          <rPr>
            <sz val="9"/>
            <color rgb="FF000000"/>
            <rFont val="Times New Roman"/>
            <family val="2"/>
          </rPr>
          <t xml:space="preserve">180 is north
</t>
        </r>
      </text>
    </comment>
    <comment ref="B8" authorId="0" shapeId="0" xr:uid="{00000000-0006-0000-0000-000004000000}">
      <text>
        <r>
          <rPr>
            <sz val="9"/>
            <color rgb="FF000000"/>
            <rFont val="Times New Roman"/>
            <family val="2"/>
          </rPr>
          <t xml:space="preserve">Solar declination varies over the course of the year:
</t>
        </r>
        <r>
          <rPr>
            <sz val="9"/>
            <color rgb="FF000000"/>
            <rFont val="Times New Roman"/>
            <family val="2"/>
          </rPr>
          <t xml:space="preserve">     -23.5 degrees on the winter solstice (December 21)
</t>
        </r>
        <r>
          <rPr>
            <sz val="9"/>
            <color rgb="FF000000"/>
            <rFont val="Times New Roman"/>
            <family val="2"/>
          </rPr>
          <t xml:space="preserve">        0 one the equinox - spring (March 21) and Autumn (September 21)
</t>
        </r>
        <r>
          <rPr>
            <sz val="9"/>
            <color rgb="FF000000"/>
            <rFont val="Times New Roman"/>
            <family val="2"/>
          </rPr>
          <t xml:space="preserve">    +23.5 on the summer solstice (june 21)</t>
        </r>
      </text>
    </comment>
  </commentList>
</comments>
</file>

<file path=xl/sharedStrings.xml><?xml version="1.0" encoding="utf-8"?>
<sst xmlns="http://schemas.openxmlformats.org/spreadsheetml/2006/main" count="1300" uniqueCount="71">
  <si>
    <t>line</t>
  </si>
  <si>
    <t>adjust X</t>
  </si>
  <si>
    <t>calculate Y</t>
  </si>
  <si>
    <t>calculate z</t>
  </si>
  <si>
    <t>calculate zz</t>
  </si>
  <si>
    <t>calculate X</t>
  </si>
  <si>
    <t>calculate H</t>
  </si>
  <si>
    <t>input hour</t>
  </si>
  <si>
    <t>calculate k</t>
  </si>
  <si>
    <t>input latitude, degrees</t>
  </si>
  <si>
    <t>input slope, degrees, angle</t>
  </si>
  <si>
    <t>input solar decination, M</t>
  </si>
  <si>
    <t>input transmission coefficient, G</t>
  </si>
  <si>
    <t>input % diffuse beam, diffuse</t>
  </si>
  <si>
    <t>calculate CN</t>
  </si>
  <si>
    <t>a 1080</t>
  </si>
  <si>
    <t>a 2352</t>
  </si>
  <si>
    <t>a 2372</t>
  </si>
  <si>
    <t>convert latitude, l</t>
  </si>
  <si>
    <t>convert declination, M</t>
  </si>
  <si>
    <t>convert angle, angle</t>
  </si>
  <si>
    <t>a 2412</t>
  </si>
  <si>
    <t>input azimuth, aslop, degrees</t>
  </si>
  <si>
    <t>convert azimuth, aslop</t>
  </si>
  <si>
    <t>a 2432</t>
  </si>
  <si>
    <t>calc cos(i), c</t>
  </si>
  <si>
    <t>modify CN based on zz</t>
  </si>
  <si>
    <t>modify z</t>
  </si>
  <si>
    <t>further modify z</t>
  </si>
  <si>
    <t>calculate ZSUN, ZSUN</t>
  </si>
  <si>
    <t>modify c</t>
  </si>
  <si>
    <t>further modify c</t>
  </si>
  <si>
    <t>a 1160</t>
  </si>
  <si>
    <t>S direct</t>
  </si>
  <si>
    <t>S diffuse</t>
  </si>
  <si>
    <t>modify solar direct, solardirect</t>
  </si>
  <si>
    <t>calculate solar direct, solardirect</t>
  </si>
  <si>
    <t>modify solar diffuse, solardiffuse</t>
  </si>
  <si>
    <t xml:space="preserve">calculate solar diffuse, solardiffuse </t>
  </si>
  <si>
    <t>calculate solar as PFD µmol m-2 s-1</t>
  </si>
  <si>
    <t>Latitude, degrees</t>
  </si>
  <si>
    <t>Leaf or hillside slope, degrees</t>
  </si>
  <si>
    <t>Leaf or hillside azimuth, degrees</t>
  </si>
  <si>
    <t>Cloudiness, percent</t>
  </si>
  <si>
    <t>Hour</t>
  </si>
  <si>
    <t>Solar direct</t>
  </si>
  <si>
    <t>Solar diffuse</t>
  </si>
  <si>
    <t xml:space="preserve">Calculations of the hourly PFD incident on </t>
  </si>
  <si>
    <t>a leaf or a slope over the course of a day</t>
  </si>
  <si>
    <t>Direct</t>
  </si>
  <si>
    <t>Diffuse</t>
  </si>
  <si>
    <r>
      <t>mol m</t>
    </r>
    <r>
      <rPr>
        <vertAlign val="superscript"/>
        <sz val="11"/>
        <color rgb="FF0000FF"/>
        <rFont val="Arial"/>
        <family val="2"/>
      </rPr>
      <t>-2</t>
    </r>
    <r>
      <rPr>
        <sz val="11"/>
        <color rgb="FF0000FF"/>
        <rFont val="Arial"/>
        <family val="2"/>
      </rPr>
      <t xml:space="preserve"> day</t>
    </r>
    <r>
      <rPr>
        <vertAlign val="superscript"/>
        <sz val="11"/>
        <color rgb="FF0000FF"/>
        <rFont val="Arial"/>
        <family val="2"/>
      </rPr>
      <t>-1</t>
    </r>
  </si>
  <si>
    <r>
      <t>µmol photons m</t>
    </r>
    <r>
      <rPr>
        <vertAlign val="superscript"/>
        <sz val="10"/>
        <color rgb="FF0000FF"/>
        <rFont val="Arial"/>
        <family val="2"/>
      </rPr>
      <t>-2</t>
    </r>
    <r>
      <rPr>
        <sz val="10"/>
        <color rgb="FF0000FF"/>
        <rFont val="Arial"/>
        <family val="2"/>
      </rPr>
      <t xml:space="preserve"> s</t>
    </r>
    <r>
      <rPr>
        <vertAlign val="superscript"/>
        <sz val="10"/>
        <color rgb="FF0000FF"/>
        <rFont val="Arial"/>
        <family val="2"/>
      </rPr>
      <t>-1</t>
    </r>
  </si>
  <si>
    <t>further modify ZSUN</t>
  </si>
  <si>
    <t>further modify solar direct, solardirect</t>
  </si>
  <si>
    <t>Solar total</t>
  </si>
  <si>
    <t>Solar declination, degrees</t>
  </si>
  <si>
    <t>Total</t>
  </si>
  <si>
    <t>Calculate daylength</t>
  </si>
  <si>
    <t>tan lat</t>
  </si>
  <si>
    <t>tan dec</t>
  </si>
  <si>
    <t>cos h</t>
  </si>
  <si>
    <t>h in radians</t>
  </si>
  <si>
    <t>convert h back to degrees</t>
  </si>
  <si>
    <t>what is daylength in hours</t>
  </si>
  <si>
    <t>Choose inputs in yellow-colored cells:</t>
  </si>
  <si>
    <t>Daylength in hours</t>
  </si>
  <si>
    <t>Daily PFD</t>
  </si>
  <si>
    <t>does value exceeed bounds</t>
  </si>
  <si>
    <t>50%  reflected to space</t>
  </si>
  <si>
    <t>Instantaneous PFD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</si>
</sst>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0000FF"/>
      <name val="Times New Roman"/>
      <family val="1"/>
    </font>
    <font>
      <vertAlign val="superscript"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vertAlign val="superscript"/>
      <sz val="10"/>
      <color rgb="FF0000FF"/>
      <name val="Arial"/>
      <family val="2"/>
    </font>
    <font>
      <sz val="10"/>
      <color theme="1"/>
      <name val="Arial"/>
      <family val="2"/>
    </font>
    <font>
      <sz val="12"/>
      <color rgb="FF0000FF"/>
      <name val="Times New Roman"/>
      <family val="2"/>
    </font>
    <font>
      <sz val="12"/>
      <color rgb="FF000000"/>
      <name val="Times New Roman"/>
      <family val="2"/>
    </font>
    <font>
      <sz val="9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7" xfId="0" applyFont="1" applyBorder="1"/>
    <xf numFmtId="3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/>
    <xf numFmtId="3" fontId="0" fillId="3" borderId="12" xfId="0" applyNumberFormat="1" applyFill="1" applyBorder="1" applyAlignment="1">
      <alignment horizontal="center" vertical="center"/>
    </xf>
    <xf numFmtId="2" fontId="0" fillId="0" borderId="0" xfId="0" applyNumberFormat="1"/>
    <xf numFmtId="0" fontId="6" fillId="0" borderId="11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0" fontId="15" fillId="0" borderId="0" xfId="0" applyFont="1"/>
    <xf numFmtId="0" fontId="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Incident direct and diffuse solar radiation</a:t>
            </a:r>
          </a:p>
          <a:p>
            <a:pPr>
              <a:defRPr/>
            </a:pPr>
            <a:r>
              <a:rPr lang="en-US" sz="1400" b="0"/>
              <a:t>as PFD (400-700 nm)</a:t>
            </a:r>
          </a:p>
        </c:rich>
      </c:tx>
      <c:layout>
        <c:manualLayout>
          <c:xMode val="edge"/>
          <c:yMode val="edge"/>
          <c:x val="0.1875386614748"/>
          <c:y val="2.26108352458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91412415103599"/>
          <c:y val="0.146666705161865"/>
          <c:w val="0.78419505828328295"/>
          <c:h val="0.69551120617091999"/>
        </c:manualLayout>
      </c:layout>
      <c:scatterChart>
        <c:scatterStyle val="smoothMarker"/>
        <c:varyColors val="0"/>
        <c:ser>
          <c:idx val="0"/>
          <c:order val="0"/>
          <c:tx>
            <c:v>Indirect</c:v>
          </c:tx>
          <c:spPr>
            <a:ln w="1905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Inputs!$H$4:$H$27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19.186496548775605</c:v>
                </c:pt>
                <c:pt idx="5">
                  <c:v>284.90630686268707</c:v>
                </c:pt>
                <c:pt idx="6">
                  <c:v>629.53997594438647</c:v>
                </c:pt>
                <c:pt idx="7">
                  <c:v>966.36063646194543</c:v>
                </c:pt>
                <c:pt idx="8">
                  <c:v>1260.2704520997545</c:v>
                </c:pt>
                <c:pt idx="9">
                  <c:v>1489.4845785086829</c:v>
                </c:pt>
                <c:pt idx="10">
                  <c:v>1632.762033721333</c:v>
                </c:pt>
                <c:pt idx="11">
                  <c:v>1681.6961391244342</c:v>
                </c:pt>
                <c:pt idx="12">
                  <c:v>1632.7620339921921</c:v>
                </c:pt>
                <c:pt idx="13">
                  <c:v>1489.4845788767236</c:v>
                </c:pt>
                <c:pt idx="14">
                  <c:v>1260.2704525639231</c:v>
                </c:pt>
                <c:pt idx="15">
                  <c:v>966.32905285060917</c:v>
                </c:pt>
                <c:pt idx="16">
                  <c:v>629.53997648285747</c:v>
                </c:pt>
                <c:pt idx="17">
                  <c:v>284.90630730804213</c:v>
                </c:pt>
                <c:pt idx="18">
                  <c:v>19.186496652391639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AB-7146-80A9-41B413EE0FE5}"/>
            </c:ext>
          </c:extLst>
        </c:ser>
        <c:ser>
          <c:idx val="1"/>
          <c:order val="1"/>
          <c:tx>
            <c:v>diffuse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Inputs!$I$4:$I$27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3.1982637346210798</c:v>
                </c:pt>
                <c:pt idx="5">
                  <c:v>47.486594880927377</c:v>
                </c:pt>
                <c:pt idx="6">
                  <c:v>104.92600178738597</c:v>
                </c:pt>
                <c:pt idx="7">
                  <c:v>161.05746759033406</c:v>
                </c:pt>
                <c:pt idx="8">
                  <c:v>210.04737908282058</c:v>
                </c:pt>
                <c:pt idx="9">
                  <c:v>248.24925658160788</c:v>
                </c:pt>
                <c:pt idx="10">
                  <c:v>272.12835088917979</c:v>
                </c:pt>
                <c:pt idx="11">
                  <c:v>280.2842618891417</c:v>
                </c:pt>
                <c:pt idx="12">
                  <c:v>272.12835088917979</c:v>
                </c:pt>
                <c:pt idx="13">
                  <c:v>248.24925658160788</c:v>
                </c:pt>
                <c:pt idx="14">
                  <c:v>210.04737908282058</c:v>
                </c:pt>
                <c:pt idx="15">
                  <c:v>161.05746759033406</c:v>
                </c:pt>
                <c:pt idx="16">
                  <c:v>104.92600178738597</c:v>
                </c:pt>
                <c:pt idx="17">
                  <c:v>47.486594880927377</c:v>
                </c:pt>
                <c:pt idx="18">
                  <c:v>3.1982637346210798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AB-7146-80A9-41B413EE0FE5}"/>
            </c:ext>
          </c:extLst>
        </c:ser>
        <c:ser>
          <c:idx val="2"/>
          <c:order val="2"/>
          <c:tx>
            <c:v>total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Inputs!$G$4:$G$27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Inputs!$J$4:$J$27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22.384760283396684</c:v>
                </c:pt>
                <c:pt idx="5">
                  <c:v>332.39290174361446</c:v>
                </c:pt>
                <c:pt idx="6">
                  <c:v>734.46597773177245</c:v>
                </c:pt>
                <c:pt idx="7">
                  <c:v>1127.4181040522794</c:v>
                </c:pt>
                <c:pt idx="8">
                  <c:v>1470.317831182575</c:v>
                </c:pt>
                <c:pt idx="9">
                  <c:v>1737.7338350902908</c:v>
                </c:pt>
                <c:pt idx="10">
                  <c:v>1904.8903846105127</c:v>
                </c:pt>
                <c:pt idx="11">
                  <c:v>1961.9804010135758</c:v>
                </c:pt>
                <c:pt idx="12">
                  <c:v>1904.8903848813718</c:v>
                </c:pt>
                <c:pt idx="13">
                  <c:v>1737.7338354583314</c:v>
                </c:pt>
                <c:pt idx="14">
                  <c:v>1470.3178316467436</c:v>
                </c:pt>
                <c:pt idx="15">
                  <c:v>1127.3865204409433</c:v>
                </c:pt>
                <c:pt idx="16">
                  <c:v>734.46597827024345</c:v>
                </c:pt>
                <c:pt idx="17">
                  <c:v>332.39290218896952</c:v>
                </c:pt>
                <c:pt idx="18">
                  <c:v>22.384760387012719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AB-7146-80A9-41B413EE0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17272"/>
        <c:axId val="2073467176"/>
      </c:scatterChart>
      <c:valAx>
        <c:axId val="2073317272"/>
        <c:scaling>
          <c:orientation val="minMax"/>
          <c:max val="2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Hour of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467176"/>
        <c:crosses val="autoZero"/>
        <c:crossBetween val="midCat"/>
        <c:majorUnit val="2"/>
        <c:minorUnit val="1"/>
      </c:valAx>
      <c:valAx>
        <c:axId val="2073467176"/>
        <c:scaling>
          <c:orientation val="minMax"/>
          <c:max val="2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PFD (400-700 nm), µmol m</a:t>
                </a:r>
                <a:r>
                  <a:rPr lang="en-US" sz="1200" b="0" baseline="30000"/>
                  <a:t>-2</a:t>
                </a:r>
                <a:r>
                  <a:rPr lang="en-US" sz="1200" b="0"/>
                  <a:t> </a:t>
                </a:r>
                <a:r>
                  <a:rPr lang="en-US" sz="1200" b="0" baseline="0"/>
                  <a:t>s-</a:t>
                </a:r>
                <a:r>
                  <a:rPr lang="en-US" sz="1200" b="0" baseline="30000"/>
                  <a:t>1</a:t>
                </a:r>
              </a:p>
            </c:rich>
          </c:tx>
          <c:layout>
            <c:manualLayout>
              <c:xMode val="edge"/>
              <c:yMode val="edge"/>
              <c:x val="2.27848072878492E-2"/>
              <c:y val="0.1868751030918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73317272"/>
        <c:crosses val="autoZero"/>
        <c:crossBetween val="midCat"/>
        <c:majorUnit val="400"/>
      </c:valAx>
    </c:plotArea>
    <c:legend>
      <c:legendPos val="r"/>
      <c:layout>
        <c:manualLayout>
          <c:xMode val="edge"/>
          <c:yMode val="edge"/>
          <c:x val="0.80907183680456496"/>
          <c:y val="3.4672041942511701E-2"/>
          <c:w val="0.16818577840803101"/>
          <c:h val="0.222593845991830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9</xdr:row>
      <xdr:rowOff>93133</xdr:rowOff>
    </xdr:from>
    <xdr:to>
      <xdr:col>5</xdr:col>
      <xdr:colOff>8467</xdr:colOff>
      <xdr:row>27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150" zoomScaleNormal="150" zoomScalePageLayoutView="150" workbookViewId="0">
      <selection activeCell="B5" sqref="B5"/>
    </sheetView>
  </sheetViews>
  <sheetFormatPr baseColWidth="10" defaultRowHeight="16" x14ac:dyDescent="0.2"/>
  <cols>
    <col min="1" max="1" width="31.33203125" style="19" customWidth="1"/>
    <col min="2" max="3" width="10.83203125" style="19"/>
    <col min="4" max="4" width="10.5" style="19" customWidth="1"/>
    <col min="5" max="5" width="8" style="19" customWidth="1"/>
    <col min="6" max="6" width="4.6640625" style="19" customWidth="1"/>
    <col min="7" max="7" width="6.5" style="20" customWidth="1"/>
    <col min="8" max="9" width="11.5" style="20" customWidth="1"/>
    <col min="10" max="10" width="10.5" style="20" customWidth="1"/>
    <col min="11" max="12" width="12" style="20" customWidth="1"/>
  </cols>
  <sheetData>
    <row r="1" spans="1:10" x14ac:dyDescent="0.2">
      <c r="A1" s="24" t="s">
        <v>47</v>
      </c>
      <c r="B1" s="25"/>
      <c r="D1" s="56" t="s">
        <v>67</v>
      </c>
      <c r="E1" s="57"/>
      <c r="F1" s="29"/>
      <c r="G1" s="60" t="s">
        <v>70</v>
      </c>
      <c r="H1" s="61"/>
      <c r="I1" s="61"/>
      <c r="J1" s="62"/>
    </row>
    <row r="2" spans="1:10" x14ac:dyDescent="0.2">
      <c r="A2" s="26" t="s">
        <v>48</v>
      </c>
      <c r="B2" s="27"/>
      <c r="D2" s="58" t="s">
        <v>51</v>
      </c>
      <c r="E2" s="59"/>
      <c r="F2" s="29"/>
      <c r="G2" s="63" t="s">
        <v>52</v>
      </c>
      <c r="H2" s="64"/>
      <c r="I2" s="64"/>
      <c r="J2" s="55"/>
    </row>
    <row r="3" spans="1:10" x14ac:dyDescent="0.2">
      <c r="D3" s="36" t="s">
        <v>49</v>
      </c>
      <c r="E3" s="37">
        <f>SUM(H4:H27)*60*60/10^6</f>
        <v>51.288067864795458</v>
      </c>
      <c r="F3" s="28"/>
      <c r="G3" s="47" t="s">
        <v>44</v>
      </c>
      <c r="H3" s="48" t="s">
        <v>45</v>
      </c>
      <c r="I3" s="48" t="s">
        <v>46</v>
      </c>
      <c r="J3" s="49" t="s">
        <v>55</v>
      </c>
    </row>
    <row r="4" spans="1:10" x14ac:dyDescent="0.2">
      <c r="A4" s="21" t="s">
        <v>65</v>
      </c>
      <c r="D4" s="39" t="s">
        <v>50</v>
      </c>
      <c r="E4" s="40">
        <f>SUM(I4:I27)*60*60/10^6</f>
        <v>8.548095207538422</v>
      </c>
      <c r="F4" s="30"/>
      <c r="G4" s="41">
        <v>1</v>
      </c>
      <c r="H4" s="42">
        <f>'Hour 1'!D2</f>
        <v>0</v>
      </c>
      <c r="I4" s="42">
        <f>'Hour 1'!E2</f>
        <v>0</v>
      </c>
      <c r="J4" s="43">
        <f>H4+I4</f>
        <v>0</v>
      </c>
    </row>
    <row r="5" spans="1:10" x14ac:dyDescent="0.2">
      <c r="A5" s="19" t="s">
        <v>40</v>
      </c>
      <c r="B5" s="31">
        <v>41</v>
      </c>
      <c r="C5" s="22"/>
      <c r="D5" s="38" t="s">
        <v>57</v>
      </c>
      <c r="E5" s="50">
        <f>E3+E4</f>
        <v>59.836163072333882</v>
      </c>
      <c r="G5" s="41">
        <v>2</v>
      </c>
      <c r="H5" s="42">
        <f>'Hour 2'!D2</f>
        <v>0</v>
      </c>
      <c r="I5" s="42">
        <f>'Hour 2'!E2</f>
        <v>0</v>
      </c>
      <c r="J5" s="43">
        <f t="shared" ref="J5:J27" si="0">H5+I5</f>
        <v>0</v>
      </c>
    </row>
    <row r="6" spans="1:10" x14ac:dyDescent="0.2">
      <c r="A6" s="19" t="s">
        <v>41</v>
      </c>
      <c r="B6" s="31">
        <v>0</v>
      </c>
      <c r="C6" s="22"/>
      <c r="D6" s="22"/>
      <c r="G6" s="41">
        <v>3</v>
      </c>
      <c r="H6" s="42">
        <f>'Hour 3'!D2</f>
        <v>0</v>
      </c>
      <c r="I6" s="42">
        <f>'Hour 3'!E2</f>
        <v>0</v>
      </c>
      <c r="J6" s="43">
        <f t="shared" si="0"/>
        <v>0</v>
      </c>
    </row>
    <row r="7" spans="1:10" x14ac:dyDescent="0.2">
      <c r="A7" s="19" t="s">
        <v>42</v>
      </c>
      <c r="B7" s="31">
        <v>0</v>
      </c>
      <c r="C7" s="22"/>
      <c r="D7" s="52" t="s">
        <v>66</v>
      </c>
      <c r="E7" s="53"/>
      <c r="G7" s="41">
        <v>4</v>
      </c>
      <c r="H7" s="42">
        <f>'Hour 4'!D2</f>
        <v>0</v>
      </c>
      <c r="I7" s="42">
        <f>'Hour 4'!E2</f>
        <v>0</v>
      </c>
      <c r="J7" s="43">
        <f t="shared" si="0"/>
        <v>0</v>
      </c>
    </row>
    <row r="8" spans="1:10" x14ac:dyDescent="0.2">
      <c r="A8" s="19" t="s">
        <v>56</v>
      </c>
      <c r="B8" s="31">
        <v>23</v>
      </c>
      <c r="C8" s="22"/>
      <c r="D8" s="54">
        <f>'Hour 0'!G14</f>
        <v>14.887223283083957</v>
      </c>
      <c r="E8" s="55"/>
      <c r="G8" s="41">
        <v>5</v>
      </c>
      <c r="H8" s="42">
        <f>'Hour 5'!D2</f>
        <v>19.186496548775605</v>
      </c>
      <c r="I8" s="42">
        <f>'Hour 5'!E2</f>
        <v>3.1982637346210798</v>
      </c>
      <c r="J8" s="43">
        <f t="shared" si="0"/>
        <v>22.384760283396684</v>
      </c>
    </row>
    <row r="9" spans="1:10" x14ac:dyDescent="0.2">
      <c r="A9" s="19" t="s">
        <v>43</v>
      </c>
      <c r="B9" s="31">
        <v>25</v>
      </c>
      <c r="C9" s="22"/>
      <c r="D9" s="22"/>
      <c r="G9" s="41">
        <v>6</v>
      </c>
      <c r="H9" s="42">
        <f>'Hour 6'!D2</f>
        <v>284.90630686268707</v>
      </c>
      <c r="I9" s="42">
        <f>'Hour 6'!E2</f>
        <v>47.486594880927377</v>
      </c>
      <c r="J9" s="43">
        <f t="shared" si="0"/>
        <v>332.39290174361446</v>
      </c>
    </row>
    <row r="10" spans="1:10" x14ac:dyDescent="0.2">
      <c r="G10" s="41">
        <v>7</v>
      </c>
      <c r="H10" s="42">
        <f>'Hour 7'!D2</f>
        <v>629.53997594438647</v>
      </c>
      <c r="I10" s="42">
        <f>'Hour 7'!E2</f>
        <v>104.92600178738597</v>
      </c>
      <c r="J10" s="43">
        <f t="shared" si="0"/>
        <v>734.46597773177245</v>
      </c>
    </row>
    <row r="11" spans="1:10" x14ac:dyDescent="0.2">
      <c r="G11" s="41">
        <v>8</v>
      </c>
      <c r="H11" s="42">
        <f>'Hour 8'!D2</f>
        <v>966.36063646194543</v>
      </c>
      <c r="I11" s="42">
        <f>'Hour 8'!E2</f>
        <v>161.05746759033406</v>
      </c>
      <c r="J11" s="43">
        <f t="shared" si="0"/>
        <v>1127.4181040522794</v>
      </c>
    </row>
    <row r="12" spans="1:10" x14ac:dyDescent="0.2">
      <c r="G12" s="41">
        <v>9</v>
      </c>
      <c r="H12" s="42">
        <f>'Hour 9'!D2</f>
        <v>1260.2704520997545</v>
      </c>
      <c r="I12" s="42">
        <f>'Hour 9'!E2</f>
        <v>210.04737908282058</v>
      </c>
      <c r="J12" s="43">
        <f t="shared" si="0"/>
        <v>1470.317831182575</v>
      </c>
    </row>
    <row r="13" spans="1:10" x14ac:dyDescent="0.2">
      <c r="G13" s="41">
        <v>10</v>
      </c>
      <c r="H13" s="42">
        <f>'Hour 10'!D2</f>
        <v>1489.4845785086829</v>
      </c>
      <c r="I13" s="42">
        <f>'Hour 10'!E2</f>
        <v>248.24925658160788</v>
      </c>
      <c r="J13" s="43">
        <f t="shared" si="0"/>
        <v>1737.7338350902908</v>
      </c>
    </row>
    <row r="14" spans="1:10" x14ac:dyDescent="0.2">
      <c r="G14" s="41">
        <v>11</v>
      </c>
      <c r="H14" s="42">
        <f>'Hour 11'!D2</f>
        <v>1632.762033721333</v>
      </c>
      <c r="I14" s="42">
        <f>'Hour 11'!E2</f>
        <v>272.12835088917979</v>
      </c>
      <c r="J14" s="43">
        <f t="shared" si="0"/>
        <v>1904.8903846105127</v>
      </c>
    </row>
    <row r="15" spans="1:10" x14ac:dyDescent="0.2">
      <c r="G15" s="41">
        <v>12</v>
      </c>
      <c r="H15" s="42">
        <f>'Hour 12'!D2</f>
        <v>1681.6961391244342</v>
      </c>
      <c r="I15" s="42">
        <f>'Hour 12'!E2</f>
        <v>280.2842618891417</v>
      </c>
      <c r="J15" s="43">
        <f t="shared" si="0"/>
        <v>1961.9804010135758</v>
      </c>
    </row>
    <row r="16" spans="1:10" x14ac:dyDescent="0.2">
      <c r="G16" s="41">
        <v>13</v>
      </c>
      <c r="H16" s="42">
        <f>'Hour 13'!D2</f>
        <v>1632.7620339921921</v>
      </c>
      <c r="I16" s="42">
        <f>'Hour 13'!E2</f>
        <v>272.12835088917979</v>
      </c>
      <c r="J16" s="43">
        <f t="shared" si="0"/>
        <v>1904.8903848813718</v>
      </c>
    </row>
    <row r="17" spans="7:11" x14ac:dyDescent="0.2">
      <c r="G17" s="41">
        <v>14</v>
      </c>
      <c r="H17" s="42">
        <f>Hour14!D2</f>
        <v>1489.4845788767236</v>
      </c>
      <c r="I17" s="42">
        <f>Hour14!E2</f>
        <v>248.24925658160788</v>
      </c>
      <c r="J17" s="43">
        <f t="shared" si="0"/>
        <v>1737.7338354583314</v>
      </c>
    </row>
    <row r="18" spans="7:11" x14ac:dyDescent="0.2">
      <c r="G18" s="41">
        <v>15</v>
      </c>
      <c r="H18" s="42">
        <f>'Hour 15'!D2</f>
        <v>1260.2704525639231</v>
      </c>
      <c r="I18" s="42">
        <f>'Hour 15'!E2</f>
        <v>210.04737908282058</v>
      </c>
      <c r="J18" s="43">
        <f t="shared" si="0"/>
        <v>1470.3178316467436</v>
      </c>
    </row>
    <row r="19" spans="7:11" x14ac:dyDescent="0.2">
      <c r="G19" s="41">
        <v>16</v>
      </c>
      <c r="H19" s="42">
        <f>'Hour 16'!D2</f>
        <v>966.32905285060917</v>
      </c>
      <c r="I19" s="42">
        <f>'Hour 16'!E2</f>
        <v>161.05746759033406</v>
      </c>
      <c r="J19" s="43">
        <f t="shared" si="0"/>
        <v>1127.3865204409433</v>
      </c>
    </row>
    <row r="20" spans="7:11" x14ac:dyDescent="0.2">
      <c r="G20" s="41">
        <v>17</v>
      </c>
      <c r="H20" s="42">
        <f>'Hour 17'!D2</f>
        <v>629.53997648285747</v>
      </c>
      <c r="I20" s="42">
        <f>'Hour 7'!E2</f>
        <v>104.92600178738597</v>
      </c>
      <c r="J20" s="43">
        <f t="shared" si="0"/>
        <v>734.46597827024345</v>
      </c>
    </row>
    <row r="21" spans="7:11" x14ac:dyDescent="0.2">
      <c r="G21" s="41">
        <v>18</v>
      </c>
      <c r="H21" s="42">
        <f>'Hour 18'!D2</f>
        <v>284.90630730804213</v>
      </c>
      <c r="I21" s="42">
        <f>'Hour 18'!E2</f>
        <v>47.486594880927377</v>
      </c>
      <c r="J21" s="43">
        <f t="shared" si="0"/>
        <v>332.39290218896952</v>
      </c>
    </row>
    <row r="22" spans="7:11" x14ac:dyDescent="0.2">
      <c r="G22" s="41">
        <v>19</v>
      </c>
      <c r="H22" s="42">
        <f>'Hour 19'!D2</f>
        <v>19.186496652391639</v>
      </c>
      <c r="I22" s="42">
        <f>'Hour 19'!E2</f>
        <v>3.1982637346210798</v>
      </c>
      <c r="J22" s="43">
        <f t="shared" si="0"/>
        <v>22.384760387012719</v>
      </c>
      <c r="K22" s="23"/>
    </row>
    <row r="23" spans="7:11" x14ac:dyDescent="0.2">
      <c r="G23" s="41">
        <v>20</v>
      </c>
      <c r="H23" s="42">
        <f>'Hour 20'!D2</f>
        <v>0</v>
      </c>
      <c r="I23" s="42">
        <f>'Hour 20'!E2</f>
        <v>0</v>
      </c>
      <c r="J23" s="43">
        <f t="shared" si="0"/>
        <v>0</v>
      </c>
    </row>
    <row r="24" spans="7:11" x14ac:dyDescent="0.2">
      <c r="G24" s="41">
        <v>21</v>
      </c>
      <c r="H24" s="42">
        <f>'Hour 21'!D2</f>
        <v>0</v>
      </c>
      <c r="I24" s="42">
        <f>'Hour 21'!E2</f>
        <v>0</v>
      </c>
      <c r="J24" s="43">
        <f t="shared" si="0"/>
        <v>0</v>
      </c>
    </row>
    <row r="25" spans="7:11" x14ac:dyDescent="0.2">
      <c r="G25" s="41">
        <v>22</v>
      </c>
      <c r="H25" s="42">
        <f>'Hour 22'!D2</f>
        <v>0</v>
      </c>
      <c r="I25" s="42">
        <f>'Hour 22'!E2</f>
        <v>0</v>
      </c>
      <c r="J25" s="43">
        <f t="shared" si="0"/>
        <v>0</v>
      </c>
    </row>
    <row r="26" spans="7:11" x14ac:dyDescent="0.2">
      <c r="G26" s="41">
        <v>23</v>
      </c>
      <c r="H26" s="42">
        <f>'Hour 23'!D2</f>
        <v>0</v>
      </c>
      <c r="I26" s="42">
        <f>'Hour 23'!E2</f>
        <v>0</v>
      </c>
      <c r="J26" s="43">
        <f t="shared" si="0"/>
        <v>0</v>
      </c>
    </row>
    <row r="27" spans="7:11" x14ac:dyDescent="0.2">
      <c r="G27" s="44">
        <v>24</v>
      </c>
      <c r="H27" s="45">
        <f>'Hour 0'!D2</f>
        <v>0</v>
      </c>
      <c r="I27" s="45">
        <f>'Hour 0'!E2</f>
        <v>0</v>
      </c>
      <c r="J27" s="46">
        <f t="shared" si="0"/>
        <v>0</v>
      </c>
    </row>
  </sheetData>
  <mergeCells count="6">
    <mergeCell ref="D7:E7"/>
    <mergeCell ref="D8:E8"/>
    <mergeCell ref="D1:E1"/>
    <mergeCell ref="D2:E2"/>
    <mergeCell ref="G1:J1"/>
    <mergeCell ref="G2:J2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8</v>
      </c>
      <c r="D1" s="13" t="s">
        <v>33</v>
      </c>
      <c r="E1" s="12" t="s">
        <v>34</v>
      </c>
    </row>
    <row r="2" spans="1:6" x14ac:dyDescent="0.2">
      <c r="D2" s="18">
        <f>C26</f>
        <v>966.36063646194543</v>
      </c>
      <c r="E2" s="17">
        <f>C28</f>
        <v>161.05746759033406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0.60369957114229389</v>
      </c>
    </row>
    <row r="22" spans="1:4" x14ac:dyDescent="0.2">
      <c r="A22" s="1">
        <v>1049</v>
      </c>
      <c r="B22" t="s">
        <v>1</v>
      </c>
      <c r="C22" s="3">
        <f>IF(C21&gt;0.99, 0.99, C21)</f>
        <v>0.60369957114229389</v>
      </c>
    </row>
    <row r="23" spans="1:4" x14ac:dyDescent="0.2">
      <c r="A23" s="1">
        <v>1080</v>
      </c>
      <c r="B23" t="s">
        <v>39</v>
      </c>
      <c r="C23" s="15">
        <f>1.94*1440*C22*C8^(1/C22)</f>
        <v>1288.4597407226724</v>
      </c>
    </row>
    <row r="24" spans="1:4" x14ac:dyDescent="0.2">
      <c r="A24" s="5" t="s">
        <v>15</v>
      </c>
      <c r="B24" s="6" t="s">
        <v>36</v>
      </c>
      <c r="C24" s="16">
        <f>C23*(1-C9/100)</f>
        <v>966.34480554200434</v>
      </c>
    </row>
    <row r="25" spans="1:4" x14ac:dyDescent="0.2">
      <c r="A25" s="32"/>
      <c r="B25" s="33" t="s">
        <v>35</v>
      </c>
      <c r="C25" s="34">
        <f>IF(C24&lt;0, 0, C24)</f>
        <v>966.34480554200434</v>
      </c>
    </row>
    <row r="26" spans="1:4" x14ac:dyDescent="0.2">
      <c r="A26" s="7"/>
      <c r="B26" s="8" t="s">
        <v>54</v>
      </c>
      <c r="C26" s="17">
        <f>C25*C39</f>
        <v>966.36063646194543</v>
      </c>
    </row>
    <row r="27" spans="1:4" x14ac:dyDescent="0.2">
      <c r="A27" s="32" t="s">
        <v>15</v>
      </c>
      <c r="B27" s="33" t="s">
        <v>38</v>
      </c>
      <c r="C27" s="34">
        <f>0.5*C23*C9/100</f>
        <v>161.05746759033406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161.05746759033406</v>
      </c>
    </row>
    <row r="29" spans="1:4" x14ac:dyDescent="0.2">
      <c r="A29" s="1" t="s">
        <v>15</v>
      </c>
      <c r="B29" t="s">
        <v>2</v>
      </c>
      <c r="C29" s="3">
        <f>(1-C22*C22)^0.5</f>
        <v>0.79721190896938465</v>
      </c>
    </row>
    <row r="30" spans="1:4" x14ac:dyDescent="0.2">
      <c r="A30" s="1" t="s">
        <v>15</v>
      </c>
      <c r="B30" t="s">
        <v>3</v>
      </c>
      <c r="C30" s="3">
        <f>COS(C15)*SIN(C20)/C29</f>
        <v>-0.99996062077766568</v>
      </c>
    </row>
    <row r="31" spans="1:4" x14ac:dyDescent="0.2">
      <c r="A31" s="1" t="s">
        <v>15</v>
      </c>
      <c r="B31" t="s">
        <v>27</v>
      </c>
      <c r="C31" s="3">
        <f>IF(C30&gt;0.99, 0.99, C30)</f>
        <v>-0.99996062077766568</v>
      </c>
    </row>
    <row r="32" spans="1:4" x14ac:dyDescent="0.2">
      <c r="A32" s="1" t="s">
        <v>15</v>
      </c>
      <c r="B32" t="s">
        <v>28</v>
      </c>
      <c r="C32" s="3">
        <f>IF(C31&lt;-0.99, -0.99, C31)</f>
        <v>-0.99</v>
      </c>
    </row>
    <row r="33" spans="1:3" x14ac:dyDescent="0.2">
      <c r="A33" s="1" t="s">
        <v>15</v>
      </c>
      <c r="B33" t="s">
        <v>4</v>
      </c>
      <c r="C33" s="3">
        <f>1-C31*C31</f>
        <v>7.8756893945541862E-5</v>
      </c>
    </row>
    <row r="34" spans="1:3" x14ac:dyDescent="0.2">
      <c r="A34" s="1" t="s">
        <v>15</v>
      </c>
      <c r="B34" t="s">
        <v>29</v>
      </c>
      <c r="C34" s="3">
        <f>ATAN(C32/(1.001-C33)^0.5)</f>
        <v>-0.78014288747773231</v>
      </c>
    </row>
    <row r="35" spans="1:3" x14ac:dyDescent="0.2">
      <c r="A35" s="1" t="s">
        <v>15</v>
      </c>
      <c r="B35" t="s">
        <v>53</v>
      </c>
      <c r="C35" s="3">
        <f>IF(C18&lt;0, -3.141592-C34,C34)</f>
        <v>-0.78014288747773231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0.60370946111068247</v>
      </c>
    </row>
    <row r="38" spans="1:3" x14ac:dyDescent="0.2">
      <c r="A38" s="1" t="s">
        <v>32</v>
      </c>
      <c r="B38" t="s">
        <v>30</v>
      </c>
      <c r="C38" s="3">
        <f>C37/C22</f>
        <v>1.0000163822683688</v>
      </c>
    </row>
    <row r="39" spans="1:3" x14ac:dyDescent="0.2">
      <c r="A39" s="1" t="s">
        <v>32</v>
      </c>
      <c r="B39" t="s">
        <v>31</v>
      </c>
      <c r="C39" s="3">
        <f>IF(C38&lt;0, 0, C38)</f>
        <v>1.0000163822683688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9</v>
      </c>
      <c r="D1" s="13" t="s">
        <v>33</v>
      </c>
      <c r="E1" s="12" t="s">
        <v>34</v>
      </c>
    </row>
    <row r="2" spans="1:6" x14ac:dyDescent="0.2">
      <c r="D2" s="18">
        <f>C26</f>
        <v>1260.2704520997545</v>
      </c>
      <c r="E2" s="17">
        <f>C28</f>
        <v>210.04737908282058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0.74757730659609178</v>
      </c>
    </row>
    <row r="22" spans="1:4" x14ac:dyDescent="0.2">
      <c r="A22" s="1">
        <v>1049</v>
      </c>
      <c r="B22" t="s">
        <v>1</v>
      </c>
      <c r="C22" s="3">
        <f>IF(C21&gt;0.99, 0.99, C21)</f>
        <v>0.74757730659609178</v>
      </c>
    </row>
    <row r="23" spans="1:4" x14ac:dyDescent="0.2">
      <c r="A23" s="1">
        <v>1080</v>
      </c>
      <c r="B23" t="s">
        <v>39</v>
      </c>
      <c r="C23" s="15">
        <f>1.94*1440*C22*C8^(1/C22)</f>
        <v>1680.3790326625647</v>
      </c>
    </row>
    <row r="24" spans="1:4" x14ac:dyDescent="0.2">
      <c r="A24" s="5" t="s">
        <v>15</v>
      </c>
      <c r="B24" s="6" t="s">
        <v>36</v>
      </c>
      <c r="C24" s="16">
        <f>C23*(1-C9/100)</f>
        <v>1260.2842744969234</v>
      </c>
    </row>
    <row r="25" spans="1:4" x14ac:dyDescent="0.2">
      <c r="A25" s="32"/>
      <c r="B25" s="33" t="s">
        <v>35</v>
      </c>
      <c r="C25" s="34">
        <f>IF(C24&lt;0, 0, C24)</f>
        <v>1260.2842744969234</v>
      </c>
    </row>
    <row r="26" spans="1:4" x14ac:dyDescent="0.2">
      <c r="A26" s="7"/>
      <c r="B26" s="8" t="s">
        <v>54</v>
      </c>
      <c r="C26" s="17">
        <f>C25*C39</f>
        <v>1260.2704520997545</v>
      </c>
    </row>
    <row r="27" spans="1:4" x14ac:dyDescent="0.2">
      <c r="A27" s="32" t="s">
        <v>15</v>
      </c>
      <c r="B27" s="33" t="s">
        <v>38</v>
      </c>
      <c r="C27" s="34">
        <f>0.5*C23*C9/100</f>
        <v>210.04737908282058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210.04737908282058</v>
      </c>
    </row>
    <row r="29" spans="1:4" x14ac:dyDescent="0.2">
      <c r="A29" s="1" t="s">
        <v>15</v>
      </c>
      <c r="B29" t="s">
        <v>2</v>
      </c>
      <c r="C29" s="3">
        <f>(1-C22*C22)^0.5</f>
        <v>0.66417480429667985</v>
      </c>
    </row>
    <row r="30" spans="1:4" x14ac:dyDescent="0.2">
      <c r="A30" s="1" t="s">
        <v>15</v>
      </c>
      <c r="B30" t="s">
        <v>3</v>
      </c>
      <c r="C30" s="3">
        <f>COS(C15)*SIN(C20)/C29</f>
        <v>-0.98000577031827063</v>
      </c>
    </row>
    <row r="31" spans="1:4" x14ac:dyDescent="0.2">
      <c r="A31" s="1" t="s">
        <v>15</v>
      </c>
      <c r="B31" t="s">
        <v>27</v>
      </c>
      <c r="C31" s="3">
        <f>IF(C30&gt;0.99, 0.99, C30)</f>
        <v>-0.98000577031827063</v>
      </c>
    </row>
    <row r="32" spans="1:4" x14ac:dyDescent="0.2">
      <c r="A32" s="1" t="s">
        <v>15</v>
      </c>
      <c r="B32" t="s">
        <v>28</v>
      </c>
      <c r="C32" s="3">
        <f>IF(C31&lt;-0.99, -0.99, C31)</f>
        <v>-0.98000577031827063</v>
      </c>
    </row>
    <row r="33" spans="1:3" x14ac:dyDescent="0.2">
      <c r="A33" s="1" t="s">
        <v>15</v>
      </c>
      <c r="B33" t="s">
        <v>4</v>
      </c>
      <c r="C33" s="3">
        <f>1-C31*C31</f>
        <v>3.9588690142893013E-2</v>
      </c>
    </row>
    <row r="34" spans="1:3" x14ac:dyDescent="0.2">
      <c r="A34" s="1" t="s">
        <v>15</v>
      </c>
      <c r="B34" t="s">
        <v>29</v>
      </c>
      <c r="C34" s="3">
        <f>ATAN(C32/(1.001-C33)^0.5)</f>
        <v>-0.78513799369321358</v>
      </c>
    </row>
    <row r="35" spans="1:3" x14ac:dyDescent="0.2">
      <c r="A35" s="1" t="s">
        <v>15</v>
      </c>
      <c r="B35" t="s">
        <v>53</v>
      </c>
      <c r="C35" s="3">
        <f>IF(C18&lt;0, -3.141592-C34,C34)</f>
        <v>-2.3564540063067865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0.74756910740591276</v>
      </c>
    </row>
    <row r="38" spans="1:3" x14ac:dyDescent="0.2">
      <c r="A38" s="1" t="s">
        <v>32</v>
      </c>
      <c r="B38" t="s">
        <v>30</v>
      </c>
      <c r="C38" s="3">
        <f>C37/C22</f>
        <v>0.99998903231798686</v>
      </c>
    </row>
    <row r="39" spans="1:3" x14ac:dyDescent="0.2">
      <c r="A39" s="1" t="s">
        <v>32</v>
      </c>
      <c r="B39" t="s">
        <v>31</v>
      </c>
      <c r="C39" s="3">
        <f>IF(C38&lt;0, 0, C38)</f>
        <v>0.99998903231798686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10</v>
      </c>
      <c r="D1" s="13" t="s">
        <v>33</v>
      </c>
      <c r="E1" s="12" t="s">
        <v>34</v>
      </c>
    </row>
    <row r="2" spans="1:6" x14ac:dyDescent="0.2">
      <c r="D2" s="18">
        <f>C26</f>
        <v>1489.4845785086829</v>
      </c>
      <c r="E2" s="17">
        <f>C28</f>
        <v>248.24925658160788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0.85897857253707888</v>
      </c>
    </row>
    <row r="22" spans="1:4" x14ac:dyDescent="0.2">
      <c r="A22" s="1">
        <v>1049</v>
      </c>
      <c r="B22" t="s">
        <v>1</v>
      </c>
      <c r="C22" s="3">
        <f>IF(C21&gt;0.99, 0.99, C21)</f>
        <v>0.85897857253707888</v>
      </c>
    </row>
    <row r="23" spans="1:4" x14ac:dyDescent="0.2">
      <c r="A23" s="1">
        <v>1080</v>
      </c>
      <c r="B23" t="s">
        <v>39</v>
      </c>
      <c r="C23" s="15">
        <f>1.94*1440*C22*C8^(1/C22)</f>
        <v>1985.994052652863</v>
      </c>
    </row>
    <row r="24" spans="1:4" x14ac:dyDescent="0.2">
      <c r="A24" s="5" t="s">
        <v>15</v>
      </c>
      <c r="B24" s="6" t="s">
        <v>36</v>
      </c>
      <c r="C24" s="16">
        <f>C23*(1-C9/100)</f>
        <v>1489.4955394896474</v>
      </c>
    </row>
    <row r="25" spans="1:4" x14ac:dyDescent="0.2">
      <c r="A25" s="32"/>
      <c r="B25" s="33" t="s">
        <v>35</v>
      </c>
      <c r="C25" s="34">
        <f>IF(C24&lt;0, 0, C24)</f>
        <v>1489.4955394896474</v>
      </c>
    </row>
    <row r="26" spans="1:4" x14ac:dyDescent="0.2">
      <c r="A26" s="7"/>
      <c r="B26" s="8" t="s">
        <v>54</v>
      </c>
      <c r="C26" s="17">
        <f>C25*C39</f>
        <v>1489.4845785086829</v>
      </c>
    </row>
    <row r="27" spans="1:4" x14ac:dyDescent="0.2">
      <c r="A27" s="32" t="s">
        <v>15</v>
      </c>
      <c r="B27" s="33" t="s">
        <v>38</v>
      </c>
      <c r="C27" s="34">
        <f>0.5*C23*C9/100</f>
        <v>248.24925658160788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248.24925658160788</v>
      </c>
    </row>
    <row r="29" spans="1:4" x14ac:dyDescent="0.2">
      <c r="A29" s="1" t="s">
        <v>15</v>
      </c>
      <c r="B29" t="s">
        <v>2</v>
      </c>
      <c r="C29" s="3">
        <f>(1-C22*C22)^0.5</f>
        <v>0.51201153495030005</v>
      </c>
    </row>
    <row r="30" spans="1:4" x14ac:dyDescent="0.2">
      <c r="A30" s="1" t="s">
        <v>15</v>
      </c>
      <c r="B30" t="s">
        <v>3</v>
      </c>
      <c r="C30" s="3">
        <f>COS(C15)*SIN(C20)/C29</f>
        <v>-0.89891013148466448</v>
      </c>
    </row>
    <row r="31" spans="1:4" x14ac:dyDescent="0.2">
      <c r="A31" s="1" t="s">
        <v>15</v>
      </c>
      <c r="B31" t="s">
        <v>27</v>
      </c>
      <c r="C31" s="3">
        <f>IF(C30&gt;0.99, 0.99, C30)</f>
        <v>-0.89891013148466448</v>
      </c>
    </row>
    <row r="32" spans="1:4" x14ac:dyDescent="0.2">
      <c r="A32" s="1" t="s">
        <v>15</v>
      </c>
      <c r="B32" t="s">
        <v>28</v>
      </c>
      <c r="C32" s="3">
        <f>IF(C31&lt;-0.99, -0.99, C31)</f>
        <v>-0.89891013148466448</v>
      </c>
    </row>
    <row r="33" spans="1:3" x14ac:dyDescent="0.2">
      <c r="A33" s="1" t="s">
        <v>15</v>
      </c>
      <c r="B33" t="s">
        <v>4</v>
      </c>
      <c r="C33" s="3">
        <f>1-C31*C31</f>
        <v>0.19196057551422319</v>
      </c>
    </row>
    <row r="34" spans="1:3" x14ac:dyDescent="0.2">
      <c r="A34" s="1" t="s">
        <v>15</v>
      </c>
      <c r="B34" t="s">
        <v>29</v>
      </c>
      <c r="C34" s="3">
        <f>ATAN(C32/(1.001-C33)^0.5)</f>
        <v>-0.78508896386015536</v>
      </c>
    </row>
    <row r="35" spans="1:3" x14ac:dyDescent="0.2">
      <c r="A35" s="1" t="s">
        <v>15</v>
      </c>
      <c r="B35" t="s">
        <v>53</v>
      </c>
      <c r="C35" s="3">
        <f>IF(C18&lt;0, -3.141592-C34,C34)</f>
        <v>-2.3565030361398449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0.85897225143873857</v>
      </c>
    </row>
    <row r="38" spans="1:3" x14ac:dyDescent="0.2">
      <c r="A38" s="1" t="s">
        <v>32</v>
      </c>
      <c r="B38" t="s">
        <v>30</v>
      </c>
      <c r="C38" s="3">
        <f>C37/C22</f>
        <v>0.99999264114549258</v>
      </c>
    </row>
    <row r="39" spans="1:3" x14ac:dyDescent="0.2">
      <c r="A39" s="1" t="s">
        <v>32</v>
      </c>
      <c r="B39" t="s">
        <v>31</v>
      </c>
      <c r="C39" s="3">
        <f>IF(C38&lt;0, 0, C38)</f>
        <v>0.99999264114549258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11</v>
      </c>
      <c r="D1" s="13" t="s">
        <v>33</v>
      </c>
      <c r="E1" s="12" t="s">
        <v>34</v>
      </c>
    </row>
    <row r="2" spans="1:6" x14ac:dyDescent="0.2">
      <c r="D2" s="18">
        <f>C26</f>
        <v>1632.762033721333</v>
      </c>
      <c r="E2" s="17">
        <f>C28</f>
        <v>272.12835088917979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0.92837970825070193</v>
      </c>
    </row>
    <row r="22" spans="1:4" x14ac:dyDescent="0.2">
      <c r="A22" s="1">
        <v>1049</v>
      </c>
      <c r="B22" t="s">
        <v>1</v>
      </c>
      <c r="C22" s="3">
        <f>IF(C21&gt;0.99, 0.99, C21)</f>
        <v>0.92837970825070193</v>
      </c>
    </row>
    <row r="23" spans="1:4" x14ac:dyDescent="0.2">
      <c r="A23" s="1">
        <v>1080</v>
      </c>
      <c r="B23" t="s">
        <v>39</v>
      </c>
      <c r="C23" s="15">
        <f>1.94*1440*C22*C8^(1/C22)</f>
        <v>2177.0268071134383</v>
      </c>
    </row>
    <row r="24" spans="1:4" x14ac:dyDescent="0.2">
      <c r="A24" s="5" t="s">
        <v>15</v>
      </c>
      <c r="B24" s="6" t="s">
        <v>36</v>
      </c>
      <c r="C24" s="16">
        <f>C23*(1-C9/100)</f>
        <v>1632.7701053350788</v>
      </c>
    </row>
    <row r="25" spans="1:4" x14ac:dyDescent="0.2">
      <c r="A25" s="32"/>
      <c r="B25" s="33" t="s">
        <v>35</v>
      </c>
      <c r="C25" s="34">
        <f>IF(C24&lt;0, 0, C24)</f>
        <v>1632.7701053350788</v>
      </c>
    </row>
    <row r="26" spans="1:4" x14ac:dyDescent="0.2">
      <c r="A26" s="7"/>
      <c r="B26" s="8" t="s">
        <v>54</v>
      </c>
      <c r="C26" s="17">
        <f>C25*C39</f>
        <v>1632.762033721333</v>
      </c>
    </row>
    <row r="27" spans="1:4" x14ac:dyDescent="0.2">
      <c r="A27" s="32" t="s">
        <v>15</v>
      </c>
      <c r="B27" s="33" t="s">
        <v>38</v>
      </c>
      <c r="C27" s="34">
        <f>0.5*C23*C9/100</f>
        <v>272.12835088917979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272.12835088917979</v>
      </c>
    </row>
    <row r="29" spans="1:4" x14ac:dyDescent="0.2">
      <c r="A29" s="1" t="s">
        <v>15</v>
      </c>
      <c r="B29" t="s">
        <v>2</v>
      </c>
      <c r="C29" s="3">
        <f>(1-C22*C22)^0.5</f>
        <v>0.3716330411956687</v>
      </c>
    </row>
    <row r="30" spans="1:4" x14ac:dyDescent="0.2">
      <c r="A30" s="1" t="s">
        <v>15</v>
      </c>
      <c r="B30" t="s">
        <v>3</v>
      </c>
      <c r="C30" s="3">
        <f>COS(C15)*SIN(C20)/C29</f>
        <v>-0.64107364198366845</v>
      </c>
    </row>
    <row r="31" spans="1:4" x14ac:dyDescent="0.2">
      <c r="A31" s="1" t="s">
        <v>15</v>
      </c>
      <c r="B31" t="s">
        <v>27</v>
      </c>
      <c r="C31" s="3">
        <f>IF(C30&gt;0.99, 0.99, C30)</f>
        <v>-0.64107364198366845</v>
      </c>
    </row>
    <row r="32" spans="1:4" x14ac:dyDescent="0.2">
      <c r="A32" s="1" t="s">
        <v>15</v>
      </c>
      <c r="B32" t="s">
        <v>28</v>
      </c>
      <c r="C32" s="3">
        <f>IF(C31&lt;-0.99, -0.99, C31)</f>
        <v>-0.64107364198366845</v>
      </c>
    </row>
    <row r="33" spans="1:3" x14ac:dyDescent="0.2">
      <c r="A33" s="1" t="s">
        <v>15</v>
      </c>
      <c r="B33" t="s">
        <v>4</v>
      </c>
      <c r="C33" s="3">
        <f>1-C31*C31</f>
        <v>0.58902458555379522</v>
      </c>
    </row>
    <row r="34" spans="1:3" x14ac:dyDescent="0.2">
      <c r="A34" s="1" t="s">
        <v>15</v>
      </c>
      <c r="B34" t="s">
        <v>29</v>
      </c>
      <c r="C34" s="3">
        <f>ATAN(C32/(1.001-C33)^0.5)</f>
        <v>-0.78479059353362057</v>
      </c>
    </row>
    <row r="35" spans="1:3" x14ac:dyDescent="0.2">
      <c r="A35" s="1" t="s">
        <v>15</v>
      </c>
      <c r="B35" t="s">
        <v>53</v>
      </c>
      <c r="C35" s="3">
        <f>IF(C18&lt;0, -3.141592-C34,C34)</f>
        <v>-2.3568014064663796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0.92837511879723877</v>
      </c>
    </row>
    <row r="38" spans="1:3" x14ac:dyDescent="0.2">
      <c r="A38" s="1" t="s">
        <v>32</v>
      </c>
      <c r="B38" t="s">
        <v>30</v>
      </c>
      <c r="C38" s="3">
        <f>C37/C22</f>
        <v>0.99999505649097842</v>
      </c>
    </row>
    <row r="39" spans="1:3" x14ac:dyDescent="0.2">
      <c r="A39" s="1" t="s">
        <v>32</v>
      </c>
      <c r="B39" t="s">
        <v>31</v>
      </c>
      <c r="C39" s="3">
        <f>IF(C38&lt;0, 0, C38)</f>
        <v>0.99999505649097842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12</v>
      </c>
      <c r="D1" s="13" t="s">
        <v>33</v>
      </c>
      <c r="E1" s="12" t="s">
        <v>34</v>
      </c>
    </row>
    <row r="2" spans="1:6" x14ac:dyDescent="0.2">
      <c r="D2" s="18">
        <f>C26</f>
        <v>1681.6961391244342</v>
      </c>
      <c r="E2" s="17">
        <f>C28</f>
        <v>280.2842618891417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0.95205114298554361</v>
      </c>
    </row>
    <row r="22" spans="1:4" x14ac:dyDescent="0.2">
      <c r="A22" s="1">
        <v>1049</v>
      </c>
      <c r="B22" t="s">
        <v>1</v>
      </c>
      <c r="C22" s="3">
        <f>IF(C21&gt;0.99, 0.99, C21)</f>
        <v>0.95205114298554361</v>
      </c>
    </row>
    <row r="23" spans="1:4" x14ac:dyDescent="0.2">
      <c r="A23" s="1">
        <v>1080</v>
      </c>
      <c r="B23" t="s">
        <v>39</v>
      </c>
      <c r="C23" s="15">
        <f>1.94*1440*C22*C8^(1/C22)</f>
        <v>2242.2740951131336</v>
      </c>
    </row>
    <row r="24" spans="1:4" x14ac:dyDescent="0.2">
      <c r="A24" s="5" t="s">
        <v>15</v>
      </c>
      <c r="B24" s="6" t="s">
        <v>36</v>
      </c>
      <c r="C24" s="16">
        <f>C23*(1-C9/100)</f>
        <v>1681.7055713348502</v>
      </c>
    </row>
    <row r="25" spans="1:4" x14ac:dyDescent="0.2">
      <c r="A25" s="32"/>
      <c r="B25" s="33" t="s">
        <v>35</v>
      </c>
      <c r="C25" s="34">
        <f>IF(C24&lt;0, 0, C24)</f>
        <v>1681.7055713348502</v>
      </c>
    </row>
    <row r="26" spans="1:4" x14ac:dyDescent="0.2">
      <c r="A26" s="7"/>
      <c r="B26" s="8" t="s">
        <v>54</v>
      </c>
      <c r="C26" s="17">
        <f>C25*C39</f>
        <v>1681.6961391244342</v>
      </c>
    </row>
    <row r="27" spans="1:4" x14ac:dyDescent="0.2">
      <c r="A27" s="32" t="s">
        <v>15</v>
      </c>
      <c r="B27" s="33" t="s">
        <v>38</v>
      </c>
      <c r="C27" s="34">
        <f>0.5*C23*C9/100</f>
        <v>280.2842618891417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280.2842618891417</v>
      </c>
    </row>
    <row r="29" spans="1:4" x14ac:dyDescent="0.2">
      <c r="A29" s="1" t="s">
        <v>15</v>
      </c>
      <c r="B29" t="s">
        <v>2</v>
      </c>
      <c r="C29" s="3">
        <f>(1-C22*C22)^0.5</f>
        <v>0.30593891733468631</v>
      </c>
    </row>
    <row r="30" spans="1:4" x14ac:dyDescent="0.2">
      <c r="A30" s="1" t="s">
        <v>15</v>
      </c>
      <c r="B30" t="s">
        <v>3</v>
      </c>
      <c r="C30" s="3">
        <f>COS(C15)*SIN(C20)/C29</f>
        <v>0</v>
      </c>
    </row>
    <row r="31" spans="1:4" x14ac:dyDescent="0.2">
      <c r="A31" s="1" t="s">
        <v>15</v>
      </c>
      <c r="B31" t="s">
        <v>27</v>
      </c>
      <c r="C31" s="3">
        <f>IF(C30&gt;0.99, 0.99, C30)</f>
        <v>0</v>
      </c>
    </row>
    <row r="32" spans="1:4" x14ac:dyDescent="0.2">
      <c r="A32" s="1" t="s">
        <v>15</v>
      </c>
      <c r="B32" t="s">
        <v>28</v>
      </c>
      <c r="C32" s="3">
        <f>IF(C31&lt;-0.99, -0.99, C31)</f>
        <v>0</v>
      </c>
    </row>
    <row r="33" spans="1:3" x14ac:dyDescent="0.2">
      <c r="A33" s="1" t="s">
        <v>15</v>
      </c>
      <c r="B33" t="s">
        <v>4</v>
      </c>
      <c r="C33" s="3">
        <f>1-C31*C31</f>
        <v>1</v>
      </c>
    </row>
    <row r="34" spans="1:3" x14ac:dyDescent="0.2">
      <c r="A34" s="1" t="s">
        <v>15</v>
      </c>
      <c r="B34" t="s">
        <v>29</v>
      </c>
      <c r="C34" s="3">
        <f>ATAN(C32/(1.001-C33)^0.5)</f>
        <v>0</v>
      </c>
    </row>
    <row r="35" spans="1:3" x14ac:dyDescent="0.2">
      <c r="A35" s="1" t="s">
        <v>15</v>
      </c>
      <c r="B35" t="s">
        <v>53</v>
      </c>
      <c r="C35" s="3">
        <f>IF(C18&lt;0, -3.141592-C34,C34)</f>
        <v>-3.1415920000000002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0.95204580320023247</v>
      </c>
    </row>
    <row r="38" spans="1:3" x14ac:dyDescent="0.2">
      <c r="A38" s="1" t="s">
        <v>32</v>
      </c>
      <c r="B38" t="s">
        <v>30</v>
      </c>
      <c r="C38" s="3">
        <f>C37/C22</f>
        <v>0.99999439128312539</v>
      </c>
    </row>
    <row r="39" spans="1:3" x14ac:dyDescent="0.2">
      <c r="A39" s="1" t="s">
        <v>32</v>
      </c>
      <c r="B39" t="s">
        <v>31</v>
      </c>
      <c r="C39" s="3">
        <f>IF(C38&lt;0, 0, C38)</f>
        <v>0.99999439128312539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13</v>
      </c>
      <c r="D1" s="13" t="s">
        <v>33</v>
      </c>
      <c r="E1" s="12" t="s">
        <v>34</v>
      </c>
    </row>
    <row r="2" spans="1:6" x14ac:dyDescent="0.2">
      <c r="D2" s="18">
        <f>C26</f>
        <v>1632.7620339921921</v>
      </c>
      <c r="E2" s="17">
        <f>C28</f>
        <v>272.12835088917979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0.92837970825070193</v>
      </c>
    </row>
    <row r="22" spans="1:4" x14ac:dyDescent="0.2">
      <c r="A22" s="1">
        <v>1049</v>
      </c>
      <c r="B22" t="s">
        <v>1</v>
      </c>
      <c r="C22" s="3">
        <f>IF(C21&gt;0.99, 0.99, C21)</f>
        <v>0.92837970825070193</v>
      </c>
    </row>
    <row r="23" spans="1:4" x14ac:dyDescent="0.2">
      <c r="A23" s="1">
        <v>1080</v>
      </c>
      <c r="B23" t="s">
        <v>39</v>
      </c>
      <c r="C23" s="15">
        <f>1.94*1440*C22*C8^(1/C22)</f>
        <v>2177.0268071134383</v>
      </c>
    </row>
    <row r="24" spans="1:4" x14ac:dyDescent="0.2">
      <c r="A24" s="5" t="s">
        <v>15</v>
      </c>
      <c r="B24" s="6" t="s">
        <v>36</v>
      </c>
      <c r="C24" s="16">
        <f>C23*(1-C9/100)</f>
        <v>1632.7701053350788</v>
      </c>
    </row>
    <row r="25" spans="1:4" x14ac:dyDescent="0.2">
      <c r="A25" s="32"/>
      <c r="B25" s="33" t="s">
        <v>35</v>
      </c>
      <c r="C25" s="34">
        <f>IF(C24&lt;0, 0, C24)</f>
        <v>1632.7701053350788</v>
      </c>
    </row>
    <row r="26" spans="1:4" x14ac:dyDescent="0.2">
      <c r="A26" s="7"/>
      <c r="B26" s="8" t="s">
        <v>54</v>
      </c>
      <c r="C26" s="17">
        <f>C25*C39</f>
        <v>1632.7620339921921</v>
      </c>
    </row>
    <row r="27" spans="1:4" x14ac:dyDescent="0.2">
      <c r="A27" s="32" t="s">
        <v>15</v>
      </c>
      <c r="B27" s="33" t="s">
        <v>38</v>
      </c>
      <c r="C27" s="34">
        <f>0.5*C23*C9/100</f>
        <v>272.12835088917979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272.12835088917979</v>
      </c>
    </row>
    <row r="29" spans="1:4" x14ac:dyDescent="0.2">
      <c r="A29" s="1" t="s">
        <v>15</v>
      </c>
      <c r="B29" t="s">
        <v>2</v>
      </c>
      <c r="C29" s="3">
        <f>(1-C22*C22)^0.5</f>
        <v>0.3716330411956687</v>
      </c>
    </row>
    <row r="30" spans="1:4" x14ac:dyDescent="0.2">
      <c r="A30" s="1" t="s">
        <v>15</v>
      </c>
      <c r="B30" t="s">
        <v>3</v>
      </c>
      <c r="C30" s="3">
        <f>COS(C15)*SIN(C20)/C29</f>
        <v>0.64107364198366845</v>
      </c>
    </row>
    <row r="31" spans="1:4" x14ac:dyDescent="0.2">
      <c r="A31" s="1" t="s">
        <v>15</v>
      </c>
      <c r="B31" t="s">
        <v>27</v>
      </c>
      <c r="C31" s="3">
        <f>IF(C30&gt;0.99, 0.99, C30)</f>
        <v>0.64107364198366845</v>
      </c>
    </row>
    <row r="32" spans="1:4" x14ac:dyDescent="0.2">
      <c r="A32" s="1" t="s">
        <v>15</v>
      </c>
      <c r="B32" t="s">
        <v>28</v>
      </c>
      <c r="C32" s="3">
        <f>IF(C31&lt;-0.99, -0.99, C31)</f>
        <v>0.64107364198366845</v>
      </c>
    </row>
    <row r="33" spans="1:3" x14ac:dyDescent="0.2">
      <c r="A33" s="1" t="s">
        <v>15</v>
      </c>
      <c r="B33" t="s">
        <v>4</v>
      </c>
      <c r="C33" s="3">
        <f>1-C31*C31</f>
        <v>0.58902458555379522</v>
      </c>
    </row>
    <row r="34" spans="1:3" x14ac:dyDescent="0.2">
      <c r="A34" s="1" t="s">
        <v>15</v>
      </c>
      <c r="B34" t="s">
        <v>29</v>
      </c>
      <c r="C34" s="3">
        <f>ATAN(C32/(1.001-C33)^0.5)</f>
        <v>0.78479059353362057</v>
      </c>
    </row>
    <row r="35" spans="1:3" x14ac:dyDescent="0.2">
      <c r="A35" s="1" t="s">
        <v>15</v>
      </c>
      <c r="B35" t="s">
        <v>53</v>
      </c>
      <c r="C35" s="3">
        <f>IF(C18&lt;0, -3.141592-C34,C34)</f>
        <v>-3.9263825935336207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0.92837511895124702</v>
      </c>
    </row>
    <row r="38" spans="1:3" x14ac:dyDescent="0.2">
      <c r="A38" s="1" t="s">
        <v>32</v>
      </c>
      <c r="B38" t="s">
        <v>30</v>
      </c>
      <c r="C38" s="3">
        <f>C37/C22</f>
        <v>0.99999505665686772</v>
      </c>
    </row>
    <row r="39" spans="1:3" x14ac:dyDescent="0.2">
      <c r="A39" s="1" t="s">
        <v>32</v>
      </c>
      <c r="B39" t="s">
        <v>31</v>
      </c>
      <c r="C39" s="3">
        <f>IF(C38&lt;0, 0, C38)</f>
        <v>0.99999505665686772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14</v>
      </c>
      <c r="D1" s="13" t="s">
        <v>33</v>
      </c>
      <c r="E1" s="12" t="s">
        <v>34</v>
      </c>
    </row>
    <row r="2" spans="1:6" x14ac:dyDescent="0.2">
      <c r="D2" s="18">
        <f>C26</f>
        <v>1489.4845788767236</v>
      </c>
      <c r="E2" s="17">
        <f>C28</f>
        <v>248.24925658160788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0.85897857253707888</v>
      </c>
    </row>
    <row r="22" spans="1:4" x14ac:dyDescent="0.2">
      <c r="A22" s="1">
        <v>1049</v>
      </c>
      <c r="B22" t="s">
        <v>1</v>
      </c>
      <c r="C22" s="3">
        <f>IF(C21&gt;0.99, 0.99, C21)</f>
        <v>0.85897857253707888</v>
      </c>
    </row>
    <row r="23" spans="1:4" x14ac:dyDescent="0.2">
      <c r="A23" s="1">
        <v>1080</v>
      </c>
      <c r="B23" t="s">
        <v>39</v>
      </c>
      <c r="C23" s="15">
        <f>1.94*1440*C22*C8^(1/C22)</f>
        <v>1985.994052652863</v>
      </c>
    </row>
    <row r="24" spans="1:4" x14ac:dyDescent="0.2">
      <c r="A24" s="5" t="s">
        <v>15</v>
      </c>
      <c r="B24" s="6" t="s">
        <v>36</v>
      </c>
      <c r="C24" s="16">
        <f>C23*(1-C9/100)</f>
        <v>1489.4955394896474</v>
      </c>
    </row>
    <row r="25" spans="1:4" x14ac:dyDescent="0.2">
      <c r="A25" s="32"/>
      <c r="B25" s="33" t="s">
        <v>35</v>
      </c>
      <c r="C25" s="34">
        <f>IF(C24&lt;0, 0, C24)</f>
        <v>1489.4955394896474</v>
      </c>
    </row>
    <row r="26" spans="1:4" x14ac:dyDescent="0.2">
      <c r="A26" s="7"/>
      <c r="B26" s="8" t="s">
        <v>54</v>
      </c>
      <c r="C26" s="17">
        <f>C25*C39</f>
        <v>1489.4845788767236</v>
      </c>
    </row>
    <row r="27" spans="1:4" x14ac:dyDescent="0.2">
      <c r="A27" s="32" t="s">
        <v>15</v>
      </c>
      <c r="B27" s="33" t="s">
        <v>38</v>
      </c>
      <c r="C27" s="34">
        <f>0.5*C23*C9/100</f>
        <v>248.24925658160788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248.24925658160788</v>
      </c>
    </row>
    <row r="29" spans="1:4" x14ac:dyDescent="0.2">
      <c r="A29" s="1" t="s">
        <v>15</v>
      </c>
      <c r="B29" t="s">
        <v>2</v>
      </c>
      <c r="C29" s="3">
        <f>(1-C22*C22)^0.5</f>
        <v>0.51201153495030005</v>
      </c>
    </row>
    <row r="30" spans="1:4" x14ac:dyDescent="0.2">
      <c r="A30" s="1" t="s">
        <v>15</v>
      </c>
      <c r="B30" t="s">
        <v>3</v>
      </c>
      <c r="C30" s="3">
        <f>COS(C15)*SIN(C20)/C29</f>
        <v>0.89891013148466448</v>
      </c>
    </row>
    <row r="31" spans="1:4" x14ac:dyDescent="0.2">
      <c r="A31" s="1" t="s">
        <v>15</v>
      </c>
      <c r="B31" t="s">
        <v>27</v>
      </c>
      <c r="C31" s="3">
        <f>IF(C30&gt;0.99, 0.99, C30)</f>
        <v>0.89891013148466448</v>
      </c>
    </row>
    <row r="32" spans="1:4" x14ac:dyDescent="0.2">
      <c r="A32" s="1" t="s">
        <v>15</v>
      </c>
      <c r="B32" t="s">
        <v>28</v>
      </c>
      <c r="C32" s="3">
        <f>IF(C31&lt;-0.99, -0.99, C31)</f>
        <v>0.89891013148466448</v>
      </c>
    </row>
    <row r="33" spans="1:3" x14ac:dyDescent="0.2">
      <c r="A33" s="1" t="s">
        <v>15</v>
      </c>
      <c r="B33" t="s">
        <v>4</v>
      </c>
      <c r="C33" s="3">
        <f>1-C31*C31</f>
        <v>0.19196057551422319</v>
      </c>
    </row>
    <row r="34" spans="1:3" x14ac:dyDescent="0.2">
      <c r="A34" s="1" t="s">
        <v>15</v>
      </c>
      <c r="B34" t="s">
        <v>29</v>
      </c>
      <c r="C34" s="3">
        <f>ATAN(C32/(1.001-C33)^0.5)</f>
        <v>0.78508896386015536</v>
      </c>
    </row>
    <row r="35" spans="1:3" x14ac:dyDescent="0.2">
      <c r="A35" s="1" t="s">
        <v>15</v>
      </c>
      <c r="B35" t="s">
        <v>53</v>
      </c>
      <c r="C35" s="3">
        <f>IF(C18&lt;0, -3.141592-C34,C34)</f>
        <v>-3.9266809638601554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0.85897225165098434</v>
      </c>
    </row>
    <row r="38" spans="1:3" x14ac:dyDescent="0.2">
      <c r="A38" s="1" t="s">
        <v>32</v>
      </c>
      <c r="B38" t="s">
        <v>30</v>
      </c>
      <c r="C38" s="3">
        <f>C37/C22</f>
        <v>0.99999264139258348</v>
      </c>
    </row>
    <row r="39" spans="1:3" x14ac:dyDescent="0.2">
      <c r="A39" s="1" t="s">
        <v>32</v>
      </c>
      <c r="B39" t="s">
        <v>31</v>
      </c>
      <c r="C39" s="3">
        <f>IF(C38&lt;0, 0, C38)</f>
        <v>0.99999264139258348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15</v>
      </c>
      <c r="D1" s="13" t="s">
        <v>33</v>
      </c>
      <c r="E1" s="12" t="s">
        <v>34</v>
      </c>
    </row>
    <row r="2" spans="1:6" x14ac:dyDescent="0.2">
      <c r="D2" s="18">
        <f>C26</f>
        <v>1260.2704525639231</v>
      </c>
      <c r="E2" s="17">
        <f>C28</f>
        <v>210.04737908282058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0.74757730659609178</v>
      </c>
    </row>
    <row r="22" spans="1:4" x14ac:dyDescent="0.2">
      <c r="A22" s="1">
        <v>1049</v>
      </c>
      <c r="B22" t="s">
        <v>1</v>
      </c>
      <c r="C22" s="3">
        <f>IF(C21&gt;0.99, 0.99, C21)</f>
        <v>0.74757730659609178</v>
      </c>
    </row>
    <row r="23" spans="1:4" x14ac:dyDescent="0.2">
      <c r="A23" s="1">
        <v>1080</v>
      </c>
      <c r="B23" t="s">
        <v>39</v>
      </c>
      <c r="C23" s="15">
        <f>1.94*1440*C22*C8^(1/C22)</f>
        <v>1680.3790326625647</v>
      </c>
    </row>
    <row r="24" spans="1:4" x14ac:dyDescent="0.2">
      <c r="A24" s="5" t="s">
        <v>15</v>
      </c>
      <c r="B24" s="6" t="s">
        <v>36</v>
      </c>
      <c r="C24" s="16">
        <f>C23*(1-C9/100)</f>
        <v>1260.2842744969234</v>
      </c>
    </row>
    <row r="25" spans="1:4" x14ac:dyDescent="0.2">
      <c r="A25" s="32"/>
      <c r="B25" s="33" t="s">
        <v>35</v>
      </c>
      <c r="C25" s="34">
        <f>IF(C24&lt;0, 0, C24)</f>
        <v>1260.2842744969234</v>
      </c>
    </row>
    <row r="26" spans="1:4" x14ac:dyDescent="0.2">
      <c r="A26" s="7"/>
      <c r="B26" s="8" t="s">
        <v>54</v>
      </c>
      <c r="C26" s="17">
        <f>C25*C39</f>
        <v>1260.2704525639231</v>
      </c>
    </row>
    <row r="27" spans="1:4" x14ac:dyDescent="0.2">
      <c r="A27" s="32" t="s">
        <v>15</v>
      </c>
      <c r="B27" s="33" t="s">
        <v>38</v>
      </c>
      <c r="C27" s="34">
        <f>0.5*C23*C9/100</f>
        <v>210.04737908282058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210.04737908282058</v>
      </c>
    </row>
    <row r="29" spans="1:4" x14ac:dyDescent="0.2">
      <c r="A29" s="1" t="s">
        <v>15</v>
      </c>
      <c r="B29" t="s">
        <v>2</v>
      </c>
      <c r="C29" s="3">
        <f>(1-C22*C22)^0.5</f>
        <v>0.66417480429667985</v>
      </c>
    </row>
    <row r="30" spans="1:4" x14ac:dyDescent="0.2">
      <c r="A30" s="1" t="s">
        <v>15</v>
      </c>
      <c r="B30" t="s">
        <v>3</v>
      </c>
      <c r="C30" s="3">
        <f>COS(C15)*SIN(C20)/C29</f>
        <v>0.98000577031827063</v>
      </c>
    </row>
    <row r="31" spans="1:4" x14ac:dyDescent="0.2">
      <c r="A31" s="1" t="s">
        <v>15</v>
      </c>
      <c r="B31" t="s">
        <v>27</v>
      </c>
      <c r="C31" s="3">
        <f>IF(C30&gt;0.99, 0.99, C30)</f>
        <v>0.98000577031827063</v>
      </c>
    </row>
    <row r="32" spans="1:4" x14ac:dyDescent="0.2">
      <c r="A32" s="1" t="s">
        <v>15</v>
      </c>
      <c r="B32" t="s">
        <v>28</v>
      </c>
      <c r="C32" s="3">
        <f>IF(C31&lt;-0.99, -0.99, C31)</f>
        <v>0.98000577031827063</v>
      </c>
    </row>
    <row r="33" spans="1:3" x14ac:dyDescent="0.2">
      <c r="A33" s="1" t="s">
        <v>15</v>
      </c>
      <c r="B33" t="s">
        <v>4</v>
      </c>
      <c r="C33" s="3">
        <f>1-C31*C31</f>
        <v>3.9588690142893013E-2</v>
      </c>
    </row>
    <row r="34" spans="1:3" x14ac:dyDescent="0.2">
      <c r="A34" s="1" t="s">
        <v>15</v>
      </c>
      <c r="B34" t="s">
        <v>29</v>
      </c>
      <c r="C34" s="3">
        <f>ATAN(C32/(1.001-C33)^0.5)</f>
        <v>0.78513799369321358</v>
      </c>
    </row>
    <row r="35" spans="1:3" x14ac:dyDescent="0.2">
      <c r="A35" s="1" t="s">
        <v>15</v>
      </c>
      <c r="B35" t="s">
        <v>53</v>
      </c>
      <c r="C35" s="3">
        <f>IF(C18&lt;0, -3.141592-C34,C34)</f>
        <v>-3.9267299936932138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0.74756910768124885</v>
      </c>
    </row>
    <row r="38" spans="1:3" x14ac:dyDescent="0.2">
      <c r="A38" s="1" t="s">
        <v>32</v>
      </c>
      <c r="B38" t="s">
        <v>30</v>
      </c>
      <c r="C38" s="3">
        <f>C37/C22</f>
        <v>0.99998903268629136</v>
      </c>
    </row>
    <row r="39" spans="1:3" x14ac:dyDescent="0.2">
      <c r="A39" s="1" t="s">
        <v>32</v>
      </c>
      <c r="B39" t="s">
        <v>31</v>
      </c>
      <c r="C39" s="3">
        <f>IF(C38&lt;0, 0, C38)</f>
        <v>0.99998903268629136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16</v>
      </c>
      <c r="D1" s="13" t="s">
        <v>33</v>
      </c>
      <c r="E1" s="12" t="s">
        <v>34</v>
      </c>
    </row>
    <row r="2" spans="1:6" x14ac:dyDescent="0.2">
      <c r="D2" s="18">
        <f>C26</f>
        <v>966.32905285060917</v>
      </c>
      <c r="E2" s="17">
        <f>C28</f>
        <v>161.05746759033406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0.60369957114229389</v>
      </c>
    </row>
    <row r="22" spans="1:4" x14ac:dyDescent="0.2">
      <c r="A22" s="1">
        <v>1049</v>
      </c>
      <c r="B22" t="s">
        <v>1</v>
      </c>
      <c r="C22" s="3">
        <f>IF(C21&gt;0.99, 0.99, C21)</f>
        <v>0.60369957114229389</v>
      </c>
    </row>
    <row r="23" spans="1:4" x14ac:dyDescent="0.2">
      <c r="A23" s="1">
        <v>1080</v>
      </c>
      <c r="B23" t="s">
        <v>39</v>
      </c>
      <c r="C23" s="15">
        <f>1.94*1440*C22*C8^(1/C22)</f>
        <v>1288.4597407226724</v>
      </c>
    </row>
    <row r="24" spans="1:4" x14ac:dyDescent="0.2">
      <c r="A24" s="5" t="s">
        <v>15</v>
      </c>
      <c r="B24" s="6" t="s">
        <v>36</v>
      </c>
      <c r="C24" s="16">
        <f>C23*(1-C9/100)</f>
        <v>966.34480554200434</v>
      </c>
    </row>
    <row r="25" spans="1:4" x14ac:dyDescent="0.2">
      <c r="A25" s="32"/>
      <c r="B25" s="33" t="s">
        <v>35</v>
      </c>
      <c r="C25" s="34">
        <f>IF(C24&lt;0, 0, C24)</f>
        <v>966.34480554200434</v>
      </c>
    </row>
    <row r="26" spans="1:4" x14ac:dyDescent="0.2">
      <c r="A26" s="7"/>
      <c r="B26" s="8" t="s">
        <v>54</v>
      </c>
      <c r="C26" s="17">
        <f>C25*C39</f>
        <v>966.32905285060917</v>
      </c>
    </row>
    <row r="27" spans="1:4" x14ac:dyDescent="0.2">
      <c r="A27" s="32" t="s">
        <v>15</v>
      </c>
      <c r="B27" s="33" t="s">
        <v>38</v>
      </c>
      <c r="C27" s="34">
        <f>0.5*C23*C9/100</f>
        <v>161.05746759033406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161.05746759033406</v>
      </c>
    </row>
    <row r="29" spans="1:4" x14ac:dyDescent="0.2">
      <c r="A29" s="1" t="s">
        <v>15</v>
      </c>
      <c r="B29" t="s">
        <v>2</v>
      </c>
      <c r="C29" s="3">
        <f>(1-C22*C22)^0.5</f>
        <v>0.79721190896938465</v>
      </c>
    </row>
    <row r="30" spans="1:4" x14ac:dyDescent="0.2">
      <c r="A30" s="1" t="s">
        <v>15</v>
      </c>
      <c r="B30" t="s">
        <v>3</v>
      </c>
      <c r="C30" s="3">
        <f>COS(C15)*SIN(C20)/C29</f>
        <v>0.99996062077766568</v>
      </c>
    </row>
    <row r="31" spans="1:4" x14ac:dyDescent="0.2">
      <c r="A31" s="1" t="s">
        <v>15</v>
      </c>
      <c r="B31" t="s">
        <v>27</v>
      </c>
      <c r="C31" s="3">
        <f>IF(C30&gt;0.99, 0.99, C30)</f>
        <v>0.99</v>
      </c>
    </row>
    <row r="32" spans="1:4" x14ac:dyDescent="0.2">
      <c r="A32" s="1" t="s">
        <v>15</v>
      </c>
      <c r="B32" t="s">
        <v>28</v>
      </c>
      <c r="C32" s="3">
        <f>IF(C31&lt;-0.99, -0.99, C31)</f>
        <v>0.99</v>
      </c>
    </row>
    <row r="33" spans="1:3" x14ac:dyDescent="0.2">
      <c r="A33" s="1" t="s">
        <v>15</v>
      </c>
      <c r="B33" t="s">
        <v>4</v>
      </c>
      <c r="C33" s="3">
        <f>1-C31*C31</f>
        <v>1.9900000000000029E-2</v>
      </c>
    </row>
    <row r="34" spans="1:3" x14ac:dyDescent="0.2">
      <c r="A34" s="1" t="s">
        <v>15</v>
      </c>
      <c r="B34" t="s">
        <v>29</v>
      </c>
      <c r="C34" s="3">
        <f>ATAN(C32/(1.001-C33)^0.5)</f>
        <v>0.78514321743494286</v>
      </c>
    </row>
    <row r="35" spans="1:3" x14ac:dyDescent="0.2">
      <c r="A35" s="1" t="s">
        <v>15</v>
      </c>
      <c r="B35" t="s">
        <v>53</v>
      </c>
      <c r="C35" s="3">
        <f>IF(C18&lt;0, -3.141592-C34,C34)</f>
        <v>-3.9267352174349428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0.60368973004521853</v>
      </c>
    </row>
    <row r="38" spans="1:3" x14ac:dyDescent="0.2">
      <c r="A38" s="1" t="s">
        <v>32</v>
      </c>
      <c r="B38" t="s">
        <v>30</v>
      </c>
      <c r="C38" s="3">
        <f>C37/C22</f>
        <v>0.99998369868466741</v>
      </c>
    </row>
    <row r="39" spans="1:3" x14ac:dyDescent="0.2">
      <c r="A39" s="1" t="s">
        <v>32</v>
      </c>
      <c r="B39" t="s">
        <v>31</v>
      </c>
      <c r="C39" s="3">
        <f>IF(C38&lt;0, 0, C38)</f>
        <v>0.99998369868466741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17</v>
      </c>
      <c r="D1" s="13" t="s">
        <v>33</v>
      </c>
      <c r="E1" s="12" t="s">
        <v>34</v>
      </c>
    </row>
    <row r="2" spans="1:6" x14ac:dyDescent="0.2">
      <c r="D2" s="18">
        <f>C26</f>
        <v>629.53997648285747</v>
      </c>
      <c r="E2" s="17">
        <v>17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0.43615039202123329</v>
      </c>
    </row>
    <row r="22" spans="1:4" x14ac:dyDescent="0.2">
      <c r="A22" s="1">
        <v>1049</v>
      </c>
      <c r="B22" t="s">
        <v>1</v>
      </c>
      <c r="C22" s="3">
        <f>IF(C21&gt;0.99, 0.99, C21)</f>
        <v>0.43615039202123329</v>
      </c>
    </row>
    <row r="23" spans="1:4" x14ac:dyDescent="0.2">
      <c r="A23" s="1">
        <v>1080</v>
      </c>
      <c r="B23" t="s">
        <v>39</v>
      </c>
      <c r="C23" s="15">
        <f>1.94*1440*C22*C8^(1/C22)</f>
        <v>839.40801429908788</v>
      </c>
    </row>
    <row r="24" spans="1:4" x14ac:dyDescent="0.2">
      <c r="A24" s="5" t="s">
        <v>15</v>
      </c>
      <c r="B24" s="6" t="s">
        <v>36</v>
      </c>
      <c r="C24" s="16">
        <f>C23*(1-C9/100)</f>
        <v>629.55601072431591</v>
      </c>
    </row>
    <row r="25" spans="1:4" x14ac:dyDescent="0.2">
      <c r="A25" s="32"/>
      <c r="B25" s="33" t="s">
        <v>35</v>
      </c>
      <c r="C25" s="34">
        <f>IF(C24&lt;0, 0, C24)</f>
        <v>629.55601072431591</v>
      </c>
    </row>
    <row r="26" spans="1:4" x14ac:dyDescent="0.2">
      <c r="A26" s="7"/>
      <c r="B26" s="8" t="s">
        <v>54</v>
      </c>
      <c r="C26" s="17">
        <f>C25*C39</f>
        <v>629.53997648285747</v>
      </c>
    </row>
    <row r="27" spans="1:4" x14ac:dyDescent="0.2">
      <c r="A27" s="32" t="s">
        <v>15</v>
      </c>
      <c r="B27" s="33" t="s">
        <v>38</v>
      </c>
      <c r="C27" s="34">
        <f>0.5*C23*C9/100</f>
        <v>104.92600178738597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104.92600178738597</v>
      </c>
    </row>
    <row r="29" spans="1:4" x14ac:dyDescent="0.2">
      <c r="A29" s="1" t="s">
        <v>15</v>
      </c>
      <c r="B29" t="s">
        <v>2</v>
      </c>
      <c r="C29" s="3">
        <f>(1-C22*C22)^0.5</f>
        <v>0.89987378867245849</v>
      </c>
    </row>
    <row r="30" spans="1:4" x14ac:dyDescent="0.2">
      <c r="A30" s="1" t="s">
        <v>15</v>
      </c>
      <c r="B30" t="s">
        <v>3</v>
      </c>
      <c r="C30" s="3">
        <f>COS(C15)*SIN(C20)/C29</f>
        <v>0.98807120399041193</v>
      </c>
    </row>
    <row r="31" spans="1:4" x14ac:dyDescent="0.2">
      <c r="A31" s="1" t="s">
        <v>15</v>
      </c>
      <c r="B31" t="s">
        <v>27</v>
      </c>
      <c r="C31" s="3">
        <f>IF(C30&gt;0.99, 0.99, C30)</f>
        <v>0.98807120399041193</v>
      </c>
    </row>
    <row r="32" spans="1:4" x14ac:dyDescent="0.2">
      <c r="A32" s="1" t="s">
        <v>15</v>
      </c>
      <c r="B32" t="s">
        <v>28</v>
      </c>
      <c r="C32" s="3">
        <f>IF(C31&lt;-0.99, -0.99, C31)</f>
        <v>0.98807120399041193</v>
      </c>
    </row>
    <row r="33" spans="1:3" x14ac:dyDescent="0.2">
      <c r="A33" s="1" t="s">
        <v>15</v>
      </c>
      <c r="B33" t="s">
        <v>4</v>
      </c>
      <c r="C33" s="3">
        <f>1-C31*C31</f>
        <v>2.3715295844937812E-2</v>
      </c>
    </row>
    <row r="34" spans="1:3" x14ac:dyDescent="0.2">
      <c r="A34" s="1" t="s">
        <v>15</v>
      </c>
      <c r="B34" t="s">
        <v>29</v>
      </c>
      <c r="C34" s="3">
        <f>ATAN(C32/(1.001-C33)^0.5)</f>
        <v>0.78514222162250635</v>
      </c>
    </row>
    <row r="35" spans="1:3" x14ac:dyDescent="0.2">
      <c r="A35" s="1" t="s">
        <v>15</v>
      </c>
      <c r="B35" t="s">
        <v>53</v>
      </c>
      <c r="C35" s="3">
        <f>IF(C18&lt;0, -3.141592-C34,C34)</f>
        <v>-3.9267342216225067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0.43613928365187654</v>
      </c>
    </row>
    <row r="38" spans="1:3" x14ac:dyDescent="0.2">
      <c r="A38" s="1" t="s">
        <v>32</v>
      </c>
      <c r="B38" t="s">
        <v>30</v>
      </c>
      <c r="C38" s="3">
        <f>C37/C22</f>
        <v>0.99997453087384547</v>
      </c>
    </row>
    <row r="39" spans="1:3" x14ac:dyDescent="0.2">
      <c r="A39" s="1" t="s">
        <v>32</v>
      </c>
      <c r="B39" t="s">
        <v>31</v>
      </c>
      <c r="C39" s="3">
        <f>IF(C38&lt;0, 0, C38)</f>
        <v>0.99997453087384547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="150" zoomScaleNormal="150" zoomScalePageLayoutView="150" workbookViewId="0">
      <pane ySplit="2" topLeftCell="A11" activePane="bottomLeft" state="frozenSplit"/>
      <selection pane="bottomLeft" activeCell="C34" sqref="C34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  <col min="7" max="7" width="10.83203125" customWidth="1"/>
  </cols>
  <sheetData>
    <row r="1" spans="1:8" x14ac:dyDescent="0.2">
      <c r="A1" s="1">
        <v>620</v>
      </c>
      <c r="B1" t="s">
        <v>7</v>
      </c>
      <c r="C1" s="14">
        <v>0</v>
      </c>
      <c r="D1" s="13" t="s">
        <v>33</v>
      </c>
      <c r="E1" s="12" t="s">
        <v>34</v>
      </c>
    </row>
    <row r="2" spans="1:8" x14ac:dyDescent="0.2">
      <c r="D2" s="18">
        <f>C26</f>
        <v>0</v>
      </c>
      <c r="E2" s="17">
        <f>C28</f>
        <v>0</v>
      </c>
    </row>
    <row r="3" spans="1:8" x14ac:dyDescent="0.2">
      <c r="A3" s="1" t="s">
        <v>0</v>
      </c>
    </row>
    <row r="4" spans="1:8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8" x14ac:dyDescent="0.2">
      <c r="A5" s="1">
        <v>2412</v>
      </c>
      <c r="B5" t="s">
        <v>10</v>
      </c>
      <c r="C5" s="10">
        <f>Inputs!B6</f>
        <v>0</v>
      </c>
      <c r="F5" s="1"/>
    </row>
    <row r="6" spans="1:8" x14ac:dyDescent="0.2">
      <c r="A6" s="1">
        <v>2432</v>
      </c>
      <c r="B6" t="s">
        <v>22</v>
      </c>
      <c r="C6" s="10">
        <f>Inputs!B7</f>
        <v>0</v>
      </c>
      <c r="F6" s="1"/>
    </row>
    <row r="7" spans="1:8" x14ac:dyDescent="0.2">
      <c r="A7" s="1">
        <v>2372</v>
      </c>
      <c r="B7" t="s">
        <v>11</v>
      </c>
      <c r="C7" s="10">
        <f>Inputs!B8</f>
        <v>23</v>
      </c>
      <c r="F7" s="1"/>
      <c r="G7" t="s">
        <v>58</v>
      </c>
    </row>
    <row r="8" spans="1:8" x14ac:dyDescent="0.2">
      <c r="A8" s="1">
        <v>2393</v>
      </c>
      <c r="B8" t="s">
        <v>12</v>
      </c>
      <c r="C8" s="10">
        <v>0.85</v>
      </c>
      <c r="F8" s="1"/>
      <c r="G8" s="35">
        <f>TAN(C14)</f>
        <v>0.86931711893381269</v>
      </c>
      <c r="H8" t="s">
        <v>59</v>
      </c>
    </row>
    <row r="9" spans="1:8" x14ac:dyDescent="0.2">
      <c r="A9" s="1">
        <v>2512</v>
      </c>
      <c r="B9" t="s">
        <v>13</v>
      </c>
      <c r="C9" s="11">
        <f>Inputs!B9</f>
        <v>25</v>
      </c>
      <c r="F9" s="1"/>
      <c r="G9" s="35">
        <f>TAN(C15)</f>
        <v>0.42447471764785355</v>
      </c>
      <c r="H9" t="s">
        <v>60</v>
      </c>
    </row>
    <row r="10" spans="1:8" x14ac:dyDescent="0.2">
      <c r="F10" s="1"/>
      <c r="G10" s="35">
        <f>-G8*G9</f>
        <v>-0.36900313860587569</v>
      </c>
      <c r="H10" t="s">
        <v>61</v>
      </c>
    </row>
    <row r="11" spans="1:8" x14ac:dyDescent="0.2">
      <c r="A11" s="1">
        <v>300</v>
      </c>
      <c r="B11" t="s">
        <v>8</v>
      </c>
      <c r="C11" s="4">
        <f>3.141592/180</f>
        <v>1.745328888888889E-2</v>
      </c>
      <c r="F11" s="1"/>
      <c r="G11">
        <f>IF(G10&gt;0.9999999999, 1, G10)</f>
        <v>-0.36900313860587569</v>
      </c>
      <c r="H11" t="s">
        <v>68</v>
      </c>
    </row>
    <row r="12" spans="1:8" x14ac:dyDescent="0.2">
      <c r="A12" s="1" t="s">
        <v>21</v>
      </c>
      <c r="B12" t="s">
        <v>20</v>
      </c>
      <c r="C12" s="4">
        <f>(C5+0.001)*C11</f>
        <v>1.7453288888888892E-5</v>
      </c>
      <c r="F12" s="1"/>
      <c r="G12" s="35">
        <f>ACOS(G11)</f>
        <v>1.948732565347929</v>
      </c>
      <c r="H12" t="s">
        <v>62</v>
      </c>
    </row>
    <row r="13" spans="1:8" x14ac:dyDescent="0.2">
      <c r="A13" s="1" t="s">
        <v>24</v>
      </c>
      <c r="B13" t="s">
        <v>23</v>
      </c>
      <c r="C13" s="4">
        <f>(C6+0.001)*C11</f>
        <v>1.7453288888888892E-5</v>
      </c>
      <c r="F13" s="1"/>
      <c r="G13">
        <f>G12/C11</f>
        <v>111.65417462312968</v>
      </c>
      <c r="H13" t="s">
        <v>63</v>
      </c>
    </row>
    <row r="14" spans="1:8" x14ac:dyDescent="0.2">
      <c r="A14" s="1" t="s">
        <v>16</v>
      </c>
      <c r="B14" t="s">
        <v>18</v>
      </c>
      <c r="C14" s="4">
        <f>C4*C11</f>
        <v>0.71560229773333339</v>
      </c>
      <c r="F14" s="1"/>
      <c r="G14" s="35">
        <f>2*G13/15</f>
        <v>14.887223283083957</v>
      </c>
      <c r="H14" t="s">
        <v>64</v>
      </c>
    </row>
    <row r="15" spans="1:8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-3.1415920000000002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-0.4383556686802717</v>
      </c>
    </row>
    <row r="22" spans="1:4" x14ac:dyDescent="0.2">
      <c r="A22" s="1">
        <v>1049</v>
      </c>
      <c r="B22" t="s">
        <v>1</v>
      </c>
      <c r="C22" s="3">
        <f>IF(C21&gt;0.99, 0.99, C21)</f>
        <v>-0.4383556686802717</v>
      </c>
    </row>
    <row r="23" spans="1:4" x14ac:dyDescent="0.2">
      <c r="A23" s="1">
        <v>1080</v>
      </c>
      <c r="B23" t="s">
        <v>39</v>
      </c>
      <c r="C23" s="15">
        <f>1.94*1440*C22*C8^(1/C22)</f>
        <v>-1774.2062585940382</v>
      </c>
    </row>
    <row r="24" spans="1:4" x14ac:dyDescent="0.2">
      <c r="A24" s="5" t="s">
        <v>15</v>
      </c>
      <c r="B24" s="6" t="s">
        <v>36</v>
      </c>
      <c r="C24" s="16">
        <f>C23*(1-C9/100)</f>
        <v>-1330.6546939455286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-221.77578232425475</v>
      </c>
      <c r="D27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0.89880159531226467</v>
      </c>
    </row>
    <row r="30" spans="1:4" x14ac:dyDescent="0.2">
      <c r="A30" s="1" t="s">
        <v>15</v>
      </c>
      <c r="B30" t="s">
        <v>3</v>
      </c>
      <c r="C30" s="3">
        <f>COS(C15)*SIN(C20)/C29</f>
        <v>-6.693719739253155E-7</v>
      </c>
    </row>
    <row r="31" spans="1:4" x14ac:dyDescent="0.2">
      <c r="A31" s="1" t="s">
        <v>15</v>
      </c>
      <c r="B31" t="s">
        <v>27</v>
      </c>
      <c r="C31" s="3">
        <f>IF(C30&gt;0.99, 0.99, C30)</f>
        <v>-6.693719739253155E-7</v>
      </c>
    </row>
    <row r="32" spans="1:4" x14ac:dyDescent="0.2">
      <c r="A32" s="1" t="s">
        <v>15</v>
      </c>
      <c r="B32" t="s">
        <v>28</v>
      </c>
      <c r="C32" s="3">
        <f>IF(C31&lt;-0.99, -0.99, C31)</f>
        <v>-6.693719739253155E-7</v>
      </c>
    </row>
    <row r="33" spans="1:3" x14ac:dyDescent="0.2">
      <c r="A33" s="1" t="s">
        <v>15</v>
      </c>
      <c r="B33" t="s">
        <v>4</v>
      </c>
      <c r="C33" s="3">
        <f>1-C31*C31</f>
        <v>0.99999999999955191</v>
      </c>
    </row>
    <row r="34" spans="1:3" x14ac:dyDescent="0.2">
      <c r="A34" s="1" t="s">
        <v>15</v>
      </c>
      <c r="B34" t="s">
        <v>29</v>
      </c>
      <c r="C34" s="3">
        <f>ATAN(C32/(1.001-C33)^0.5)</f>
        <v>-2.1167400386965701E-5</v>
      </c>
    </row>
    <row r="35" spans="1:3" x14ac:dyDescent="0.2">
      <c r="A35" s="1" t="s">
        <v>15</v>
      </c>
      <c r="B35" t="s">
        <v>53</v>
      </c>
      <c r="C35" s="3">
        <f>IF(C18&lt;0, -3.141592-C34,C34)</f>
        <v>-3.141570832599613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-0.43837135565740221</v>
      </c>
    </row>
    <row r="38" spans="1:3" x14ac:dyDescent="0.2">
      <c r="A38" s="1" t="s">
        <v>32</v>
      </c>
      <c r="B38" t="s">
        <v>30</v>
      </c>
      <c r="C38" s="3">
        <f>C37/C22</f>
        <v>1.0000357859570466</v>
      </c>
    </row>
    <row r="39" spans="1:3" x14ac:dyDescent="0.2">
      <c r="A39" s="1" t="s">
        <v>32</v>
      </c>
      <c r="B39" t="s">
        <v>31</v>
      </c>
      <c r="C39" s="3">
        <f>IF(C38&lt;0, 0, C38)</f>
        <v>1.0000357859570466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18</v>
      </c>
      <c r="D1" s="13" t="s">
        <v>33</v>
      </c>
      <c r="E1" s="12" t="s">
        <v>34</v>
      </c>
    </row>
    <row r="2" spans="1:6" x14ac:dyDescent="0.2">
      <c r="D2" s="18">
        <f>C26</f>
        <v>284.90630730804213</v>
      </c>
      <c r="E2" s="17">
        <f>C28</f>
        <v>47.486594880927377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0.25634796417808936</v>
      </c>
    </row>
    <row r="22" spans="1:4" x14ac:dyDescent="0.2">
      <c r="A22" s="1">
        <v>1049</v>
      </c>
      <c r="B22" t="s">
        <v>1</v>
      </c>
      <c r="C22" s="3">
        <f>IF(C21&gt;0.99, 0.99, C21)</f>
        <v>0.25634796417808936</v>
      </c>
    </row>
    <row r="23" spans="1:4" x14ac:dyDescent="0.2">
      <c r="A23" s="1">
        <v>1080</v>
      </c>
      <c r="B23" t="s">
        <v>39</v>
      </c>
      <c r="C23" s="15">
        <f>1.94*1440*C22*C8^(1/C22)</f>
        <v>379.89275904741902</v>
      </c>
    </row>
    <row r="24" spans="1:4" x14ac:dyDescent="0.2">
      <c r="A24" s="5" t="s">
        <v>15</v>
      </c>
      <c r="B24" s="6" t="s">
        <v>36</v>
      </c>
      <c r="C24" s="16">
        <f>C23*(1-C9/100)</f>
        <v>284.91956928556425</v>
      </c>
    </row>
    <row r="25" spans="1:4" x14ac:dyDescent="0.2">
      <c r="A25" s="32"/>
      <c r="B25" s="33" t="s">
        <v>35</v>
      </c>
      <c r="C25" s="34">
        <f>IF(C24&lt;0, 0, C24)</f>
        <v>284.91956928556425</v>
      </c>
    </row>
    <row r="26" spans="1:4" x14ac:dyDescent="0.2">
      <c r="A26" s="7"/>
      <c r="B26" s="8" t="s">
        <v>54</v>
      </c>
      <c r="C26" s="17">
        <f>C25*C39</f>
        <v>284.90630730804213</v>
      </c>
    </row>
    <row r="27" spans="1:4" x14ac:dyDescent="0.2">
      <c r="A27" s="32" t="s">
        <v>15</v>
      </c>
      <c r="B27" s="33" t="s">
        <v>38</v>
      </c>
      <c r="C27" s="34">
        <f>0.5*C23*C9/100</f>
        <v>47.486594880927377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47.486594880927377</v>
      </c>
    </row>
    <row r="29" spans="1:4" x14ac:dyDescent="0.2">
      <c r="A29" s="1" t="s">
        <v>15</v>
      </c>
      <c r="B29" t="s">
        <v>2</v>
      </c>
      <c r="C29" s="3">
        <f>(1-C22*C22)^0.5</f>
        <v>0.96658456498215872</v>
      </c>
    </row>
    <row r="30" spans="1:4" x14ac:dyDescent="0.2">
      <c r="A30" s="1" t="s">
        <v>15</v>
      </c>
      <c r="B30" t="s">
        <v>3</v>
      </c>
      <c r="C30" s="3">
        <f>COS(C15)*SIN(C20)/C29</f>
        <v>0.95232731768378309</v>
      </c>
    </row>
    <row r="31" spans="1:4" x14ac:dyDescent="0.2">
      <c r="A31" s="1" t="s">
        <v>15</v>
      </c>
      <c r="B31" t="s">
        <v>27</v>
      </c>
      <c r="C31" s="3">
        <f>IF(C30&gt;0.99, 0.99, C30)</f>
        <v>0.95232731768378309</v>
      </c>
    </row>
    <row r="32" spans="1:4" x14ac:dyDescent="0.2">
      <c r="A32" s="1" t="s">
        <v>15</v>
      </c>
      <c r="B32" t="s">
        <v>28</v>
      </c>
      <c r="C32" s="3">
        <f>IF(C31&lt;-0.99, -0.99, C31)</f>
        <v>0.95232731768378309</v>
      </c>
    </row>
    <row r="33" spans="1:3" x14ac:dyDescent="0.2">
      <c r="A33" s="1" t="s">
        <v>15</v>
      </c>
      <c r="B33" t="s">
        <v>4</v>
      </c>
      <c r="C33" s="3">
        <f>1-C31*C31</f>
        <v>9.3072679993210894E-2</v>
      </c>
    </row>
    <row r="34" spans="1:3" x14ac:dyDescent="0.2">
      <c r="A34" s="1" t="s">
        <v>15</v>
      </c>
      <c r="B34" t="s">
        <v>29</v>
      </c>
      <c r="C34" s="3">
        <f>ATAN(C32/(1.001-C33)^0.5)</f>
        <v>0.78512265922522606</v>
      </c>
    </row>
    <row r="35" spans="1:3" x14ac:dyDescent="0.2">
      <c r="A35" s="1" t="s">
        <v>15</v>
      </c>
      <c r="B35" t="s">
        <v>53</v>
      </c>
      <c r="C35" s="3">
        <f>IF(C18&lt;0, -3.141592-C34,C34)</f>
        <v>-3.926714659225226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0.2563360321056547</v>
      </c>
    </row>
    <row r="38" spans="1:3" x14ac:dyDescent="0.2">
      <c r="A38" s="1" t="s">
        <v>32</v>
      </c>
      <c r="B38" t="s">
        <v>30</v>
      </c>
      <c r="C38" s="3">
        <f>C37/C22</f>
        <v>0.99995345360953847</v>
      </c>
    </row>
    <row r="39" spans="1:3" x14ac:dyDescent="0.2">
      <c r="A39" s="1" t="s">
        <v>32</v>
      </c>
      <c r="B39" t="s">
        <v>31</v>
      </c>
      <c r="C39" s="3">
        <f>IF(C38&lt;0, 0, C38)</f>
        <v>0.99995345360953847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19</v>
      </c>
      <c r="D1" s="13" t="s">
        <v>33</v>
      </c>
      <c r="E1" s="12" t="s">
        <v>34</v>
      </c>
    </row>
    <row r="2" spans="1:6" x14ac:dyDescent="0.2">
      <c r="D2" s="18">
        <f>C26</f>
        <v>19.186496652391639</v>
      </c>
      <c r="E2" s="17">
        <f>C28</f>
        <v>3.1982637346210798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7.6545520863537136E-2</v>
      </c>
    </row>
    <row r="22" spans="1:4" x14ac:dyDescent="0.2">
      <c r="A22" s="1">
        <v>1049</v>
      </c>
      <c r="B22" t="s">
        <v>1</v>
      </c>
      <c r="C22" s="3">
        <f>IF(C21&gt;0.99, 0.99, C21)</f>
        <v>7.6545520863537136E-2</v>
      </c>
    </row>
    <row r="23" spans="1:4" x14ac:dyDescent="0.2">
      <c r="A23" s="1">
        <v>1080</v>
      </c>
      <c r="B23" t="s">
        <v>39</v>
      </c>
      <c r="C23" s="15">
        <f>1.94*1440*C22*C8^(1/C22)</f>
        <v>25.586109876968639</v>
      </c>
    </row>
    <row r="24" spans="1:4" x14ac:dyDescent="0.2">
      <c r="A24" s="5" t="s">
        <v>15</v>
      </c>
      <c r="B24" s="6" t="s">
        <v>36</v>
      </c>
      <c r="C24" s="16">
        <f>C23*(1-C9/100)</f>
        <v>19.18958240772648</v>
      </c>
    </row>
    <row r="25" spans="1:4" x14ac:dyDescent="0.2">
      <c r="A25" s="32"/>
      <c r="B25" s="33" t="s">
        <v>35</v>
      </c>
      <c r="C25" s="34">
        <f>IF(C24&lt;0, 0, C24)</f>
        <v>19.18958240772648</v>
      </c>
    </row>
    <row r="26" spans="1:4" x14ac:dyDescent="0.2">
      <c r="A26" s="7"/>
      <c r="B26" s="8" t="s">
        <v>54</v>
      </c>
      <c r="C26" s="17">
        <f>C25*C39</f>
        <v>19.186496652391639</v>
      </c>
    </row>
    <row r="27" spans="1:4" x14ac:dyDescent="0.2">
      <c r="A27" s="32" t="s">
        <v>15</v>
      </c>
      <c r="B27" s="33" t="s">
        <v>38</v>
      </c>
      <c r="C27" s="34">
        <f>0.5*C23*C9/100</f>
        <v>3.1982637346210798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3.1982637346210798</v>
      </c>
    </row>
    <row r="29" spans="1:4" x14ac:dyDescent="0.2">
      <c r="A29" s="1" t="s">
        <v>15</v>
      </c>
      <c r="B29" t="s">
        <v>2</v>
      </c>
      <c r="C29" s="3">
        <f>(1-C22*C22)^0.5</f>
        <v>0.99706608769716454</v>
      </c>
    </row>
    <row r="30" spans="1:4" x14ac:dyDescent="0.2">
      <c r="A30" s="1" t="s">
        <v>15</v>
      </c>
      <c r="B30" t="s">
        <v>3</v>
      </c>
      <c r="C30" s="3">
        <f>COS(C15)*SIN(C20)/C29</f>
        <v>0.8917558670363761</v>
      </c>
    </row>
    <row r="31" spans="1:4" x14ac:dyDescent="0.2">
      <c r="A31" s="1" t="s">
        <v>15</v>
      </c>
      <c r="B31" t="s">
        <v>27</v>
      </c>
      <c r="C31" s="3">
        <f>IF(C30&gt;0.99, 0.99, C30)</f>
        <v>0.8917558670363761</v>
      </c>
    </row>
    <row r="32" spans="1:4" x14ac:dyDescent="0.2">
      <c r="A32" s="1" t="s">
        <v>15</v>
      </c>
      <c r="B32" t="s">
        <v>28</v>
      </c>
      <c r="C32" s="3">
        <f>IF(C31&lt;-0.99, -0.99, C31)</f>
        <v>0.8917558670363761</v>
      </c>
    </row>
    <row r="33" spans="1:3" x14ac:dyDescent="0.2">
      <c r="A33" s="1" t="s">
        <v>15</v>
      </c>
      <c r="B33" t="s">
        <v>4</v>
      </c>
      <c r="C33" s="3">
        <f>1-C31*C31</f>
        <v>0.20477147360620107</v>
      </c>
    </row>
    <row r="34" spans="1:3" x14ac:dyDescent="0.2">
      <c r="A34" s="1" t="s">
        <v>15</v>
      </c>
      <c r="B34" t="s">
        <v>29</v>
      </c>
      <c r="C34" s="3">
        <f>ATAN(C32/(1.001-C33)^0.5)</f>
        <v>0.78508398587564421</v>
      </c>
    </row>
    <row r="35" spans="1:3" x14ac:dyDescent="0.2">
      <c r="A35" s="1" t="s">
        <v>15</v>
      </c>
      <c r="B35" t="s">
        <v>53</v>
      </c>
      <c r="C35" s="3">
        <f>IF(C18&lt;0, -3.141592-C34,C34)</f>
        <v>-3.9266759858756446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7.6533212062629224E-2</v>
      </c>
    </row>
    <row r="38" spans="1:3" x14ac:dyDescent="0.2">
      <c r="A38" s="1" t="s">
        <v>32</v>
      </c>
      <c r="B38" t="s">
        <v>30</v>
      </c>
      <c r="C38" s="3">
        <f>C37/C22</f>
        <v>0.99983919632698226</v>
      </c>
    </row>
    <row r="39" spans="1:3" x14ac:dyDescent="0.2">
      <c r="A39" s="1" t="s">
        <v>32</v>
      </c>
      <c r="B39" t="s">
        <v>31</v>
      </c>
      <c r="C39" s="3">
        <f>IF(C38&lt;0, 0, C38)</f>
        <v>0.99983919632698226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zoomScale="150" zoomScaleNormal="150" zoomScalePageLayoutView="150" workbookViewId="0">
      <pane ySplit="2" topLeftCell="A10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20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-9.1003703617397458E-2</v>
      </c>
    </row>
    <row r="22" spans="1:4" x14ac:dyDescent="0.2">
      <c r="A22" s="1">
        <v>1049</v>
      </c>
      <c r="B22" t="s">
        <v>1</v>
      </c>
      <c r="C22" s="3">
        <f>IF(C21&gt;0.99, 0.99, C21)</f>
        <v>-9.1003703617397458E-2</v>
      </c>
    </row>
    <row r="23" spans="1:4" x14ac:dyDescent="0.2">
      <c r="A23" s="1">
        <v>1080</v>
      </c>
      <c r="B23" t="s">
        <v>39</v>
      </c>
      <c r="C23" s="15">
        <f>1.94*1440*C22*C8^(1/C22)</f>
        <v>-1516.3795704640804</v>
      </c>
    </row>
    <row r="24" spans="1:4" x14ac:dyDescent="0.2">
      <c r="A24" s="5" t="s">
        <v>15</v>
      </c>
      <c r="B24" s="6" t="s">
        <v>36</v>
      </c>
      <c r="C24" s="16">
        <f>C23*(1-C9/100)</f>
        <v>-1137.2846778480603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-189.54744630801005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0.99585055401295874</v>
      </c>
    </row>
    <row r="30" spans="1:4" x14ac:dyDescent="0.2">
      <c r="A30" s="1" t="s">
        <v>15</v>
      </c>
      <c r="B30" t="s">
        <v>3</v>
      </c>
      <c r="C30" s="3">
        <f>COS(C15)*SIN(C20)/C29</f>
        <v>0.8005024579122163</v>
      </c>
    </row>
    <row r="31" spans="1:4" x14ac:dyDescent="0.2">
      <c r="A31" s="1" t="s">
        <v>15</v>
      </c>
      <c r="B31" t="s">
        <v>27</v>
      </c>
      <c r="C31" s="3">
        <f>IF(C30&gt;0.99, 0.99, C30)</f>
        <v>0.8005024579122163</v>
      </c>
    </row>
    <row r="32" spans="1:4" x14ac:dyDescent="0.2">
      <c r="A32" s="1" t="s">
        <v>15</v>
      </c>
      <c r="B32" t="s">
        <v>28</v>
      </c>
      <c r="C32" s="3">
        <f>IF(C31&lt;-0.99, -0.99, C31)</f>
        <v>0.8005024579122163</v>
      </c>
    </row>
    <row r="33" spans="1:3" x14ac:dyDescent="0.2">
      <c r="A33" s="1" t="s">
        <v>15</v>
      </c>
      <c r="B33" t="s">
        <v>4</v>
      </c>
      <c r="C33" s="3">
        <f>1-C31*C31</f>
        <v>0.35919581487650032</v>
      </c>
    </row>
    <row r="34" spans="1:3" x14ac:dyDescent="0.2">
      <c r="A34" s="1" t="s">
        <v>15</v>
      </c>
      <c r="B34" t="s">
        <v>29</v>
      </c>
      <c r="C34" s="3">
        <f>ATAN(C32/(1.001-C33)^0.5)</f>
        <v>0.78500833275057691</v>
      </c>
    </row>
    <row r="35" spans="1:3" x14ac:dyDescent="0.2">
      <c r="A35" s="1" t="s">
        <v>15</v>
      </c>
      <c r="B35" t="s">
        <v>53</v>
      </c>
      <c r="C35" s="3">
        <f>IF(C18&lt;0, -3.141592-C34,C34)</f>
        <v>-3.926600332750577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-9.1015998316487587E-2</v>
      </c>
    </row>
    <row r="38" spans="1:3" x14ac:dyDescent="0.2">
      <c r="A38" s="1" t="s">
        <v>32</v>
      </c>
      <c r="B38" t="s">
        <v>30</v>
      </c>
      <c r="C38" s="3">
        <f>C37/C22</f>
        <v>1.0001351010849164</v>
      </c>
    </row>
    <row r="39" spans="1:3" x14ac:dyDescent="0.2">
      <c r="A39" s="1" t="s">
        <v>32</v>
      </c>
      <c r="B39" t="s">
        <v>31</v>
      </c>
      <c r="C39" s="3">
        <f>IF(C38&lt;0, 0, C38)</f>
        <v>1.0001351010849164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-0.23488151122833584</v>
      </c>
    </row>
    <row r="22" spans="1:4" x14ac:dyDescent="0.2">
      <c r="A22" s="1">
        <v>1049</v>
      </c>
      <c r="B22" t="s">
        <v>1</v>
      </c>
      <c r="C22" s="3">
        <f>IF(C21&gt;0.99, 0.99, C21)</f>
        <v>-0.23488151122833584</v>
      </c>
    </row>
    <row r="23" spans="1:4" x14ac:dyDescent="0.2">
      <c r="A23" s="1">
        <v>1080</v>
      </c>
      <c r="B23" t="s">
        <v>39</v>
      </c>
      <c r="C23" s="15">
        <f>1.94*1440*C22*C8^(1/C22)</f>
        <v>-1310.7189068670921</v>
      </c>
    </row>
    <row r="24" spans="1:4" x14ac:dyDescent="0.2">
      <c r="A24" s="5" t="s">
        <v>15</v>
      </c>
      <c r="B24" s="6" t="s">
        <v>36</v>
      </c>
      <c r="C24" s="16">
        <f>C23*(1-C9/100)</f>
        <v>-983.039180150319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-163.83986335838651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0.97202400982850889</v>
      </c>
    </row>
    <row r="30" spans="1:4" x14ac:dyDescent="0.2">
      <c r="A30" s="1" t="s">
        <v>15</v>
      </c>
      <c r="B30" t="s">
        <v>3</v>
      </c>
      <c r="C30" s="3">
        <f>COS(C15)*SIN(C20)/C29</f>
        <v>0.66962910334283821</v>
      </c>
    </row>
    <row r="31" spans="1:4" x14ac:dyDescent="0.2">
      <c r="A31" s="1" t="s">
        <v>15</v>
      </c>
      <c r="B31" t="s">
        <v>27</v>
      </c>
      <c r="C31" s="3">
        <f>IF(C30&gt;0.99, 0.99, C30)</f>
        <v>0.66962910334283821</v>
      </c>
    </row>
    <row r="32" spans="1:4" x14ac:dyDescent="0.2">
      <c r="A32" s="1" t="s">
        <v>15</v>
      </c>
      <c r="B32" t="s">
        <v>28</v>
      </c>
      <c r="C32" s="3">
        <f>IF(C31&lt;-0.99, -0.99, C31)</f>
        <v>0.66962910334283821</v>
      </c>
    </row>
    <row r="33" spans="1:3" x14ac:dyDescent="0.2">
      <c r="A33" s="1" t="s">
        <v>15</v>
      </c>
      <c r="B33" t="s">
        <v>4</v>
      </c>
      <c r="C33" s="3">
        <f>1-C31*C31</f>
        <v>0.5515968639562665</v>
      </c>
    </row>
    <row r="34" spans="1:3" x14ac:dyDescent="0.2">
      <c r="A34" s="1" t="s">
        <v>15</v>
      </c>
      <c r="B34" t="s">
        <v>29</v>
      </c>
      <c r="C34" s="3">
        <f>ATAN(C32/(1.001-C33)^0.5)</f>
        <v>0.78484125026492868</v>
      </c>
    </row>
    <row r="35" spans="1:3" x14ac:dyDescent="0.2">
      <c r="A35" s="1" t="s">
        <v>15</v>
      </c>
      <c r="B35" t="s">
        <v>53</v>
      </c>
      <c r="C35" s="3">
        <f>IF(C18&lt;0, -3.141592-C34,C34)</f>
        <v>-3.9264332502649291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-0.23489351374780423</v>
      </c>
    </row>
    <row r="38" spans="1:3" x14ac:dyDescent="0.2">
      <c r="A38" s="1" t="s">
        <v>32</v>
      </c>
      <c r="B38" t="s">
        <v>30</v>
      </c>
      <c r="C38" s="3">
        <f>C37/C22</f>
        <v>1.0000511003160939</v>
      </c>
    </row>
    <row r="39" spans="1:3" x14ac:dyDescent="0.2">
      <c r="A39" s="1" t="s">
        <v>32</v>
      </c>
      <c r="B39" t="s">
        <v>31</v>
      </c>
      <c r="C39" s="3">
        <f>IF(C38&lt;0, 0, C38)</f>
        <v>1.0000511003160939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9"/>
  <sheetViews>
    <sheetView zoomScale="150" zoomScaleNormal="150" zoomScalePageLayoutView="150" workbookViewId="0">
      <pane ySplit="2" topLeftCell="A15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-0.34528287120634232</v>
      </c>
    </row>
    <row r="22" spans="1:4" x14ac:dyDescent="0.2">
      <c r="A22" s="1">
        <v>1049</v>
      </c>
      <c r="B22" t="s">
        <v>1</v>
      </c>
      <c r="C22" s="3">
        <f>IF(C21&gt;0.99, 0.99, C21)</f>
        <v>-0.34528287120634232</v>
      </c>
    </row>
    <row r="23" spans="1:4" x14ac:dyDescent="0.2">
      <c r="A23" s="1">
        <v>1080</v>
      </c>
      <c r="B23" t="s">
        <v>39</v>
      </c>
      <c r="C23" s="15">
        <f>1.94*1440*C22*C8^(1/C22)</f>
        <v>-1544.3810960764129</v>
      </c>
    </row>
    <row r="24" spans="1:4" x14ac:dyDescent="0.2">
      <c r="A24" s="5" t="s">
        <v>15</v>
      </c>
      <c r="B24" s="6" t="s">
        <v>36</v>
      </c>
      <c r="C24" s="16">
        <f>C23*(1-C9/100)</f>
        <v>-1158.2858220573096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-193.04763700955161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0.93849866214689104</v>
      </c>
    </row>
    <row r="30" spans="1:4" x14ac:dyDescent="0.2">
      <c r="A30" s="1" t="s">
        <v>15</v>
      </c>
      <c r="B30" t="s">
        <v>3</v>
      </c>
      <c r="C30" s="3">
        <f>COS(C15)*SIN(C20)/C29</f>
        <v>0.49041399396353069</v>
      </c>
    </row>
    <row r="31" spans="1:4" x14ac:dyDescent="0.2">
      <c r="A31" s="1" t="s">
        <v>15</v>
      </c>
      <c r="B31" t="s">
        <v>27</v>
      </c>
      <c r="C31" s="3">
        <f>IF(C30&gt;0.99, 0.99, C30)</f>
        <v>0.49041399396353069</v>
      </c>
    </row>
    <row r="32" spans="1:4" x14ac:dyDescent="0.2">
      <c r="A32" s="1" t="s">
        <v>15</v>
      </c>
      <c r="B32" t="s">
        <v>28</v>
      </c>
      <c r="C32" s="3">
        <f>IF(C31&lt;-0.99, -0.99, C31)</f>
        <v>0.49041399396353069</v>
      </c>
    </row>
    <row r="33" spans="1:3" x14ac:dyDescent="0.2">
      <c r="A33" s="1" t="s">
        <v>15</v>
      </c>
      <c r="B33" t="s">
        <v>4</v>
      </c>
      <c r="C33" s="3">
        <f>1-C31*C31</f>
        <v>0.75949411452473803</v>
      </c>
    </row>
    <row r="34" spans="1:3" x14ac:dyDescent="0.2">
      <c r="A34" s="1" t="s">
        <v>15</v>
      </c>
      <c r="B34" t="s">
        <v>29</v>
      </c>
      <c r="C34" s="3">
        <f>ATAN(C32/(1.001-C33)^0.5)</f>
        <v>0.78436084358741209</v>
      </c>
    </row>
    <row r="35" spans="1:3" x14ac:dyDescent="0.2">
      <c r="A35" s="1" t="s">
        <v>15</v>
      </c>
      <c r="B35" t="s">
        <v>53</v>
      </c>
      <c r="C35" s="3">
        <f>IF(C18&lt;0, -3.141592-C34,C34)</f>
        <v>-3.925952843587412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-0.34529446529779206</v>
      </c>
    </row>
    <row r="38" spans="1:3" x14ac:dyDescent="0.2">
      <c r="A38" s="1" t="s">
        <v>32</v>
      </c>
      <c r="B38" t="s">
        <v>30</v>
      </c>
      <c r="C38" s="3">
        <f>C37/C22</f>
        <v>1.0000335785305805</v>
      </c>
    </row>
    <row r="39" spans="1:3" x14ac:dyDescent="0.2">
      <c r="A39" s="1" t="s">
        <v>32</v>
      </c>
      <c r="B39" t="s">
        <v>31</v>
      </c>
      <c r="C39" s="3">
        <f>IF(C38&lt;0, 0, C38)</f>
        <v>1.0000335785305805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-0.4146841164283987</v>
      </c>
    </row>
    <row r="22" spans="1:4" x14ac:dyDescent="0.2">
      <c r="A22" s="1">
        <v>1049</v>
      </c>
      <c r="B22" t="s">
        <v>1</v>
      </c>
      <c r="C22" s="3">
        <f>IF(C21&gt;0.99, 0.99, C21)</f>
        <v>-0.4146841164283987</v>
      </c>
    </row>
    <row r="23" spans="1:4" x14ac:dyDescent="0.2">
      <c r="A23" s="1">
        <v>1080</v>
      </c>
      <c r="B23" t="s">
        <v>39</v>
      </c>
      <c r="C23" s="15">
        <f>1.94*1440*C22*C8^(1/C22)</f>
        <v>-1714.296958029953</v>
      </c>
    </row>
    <row r="24" spans="1:4" x14ac:dyDescent="0.2">
      <c r="A24" s="5" t="s">
        <v>15</v>
      </c>
      <c r="B24" s="6" t="s">
        <v>36</v>
      </c>
      <c r="C24" s="16">
        <f>C23*(1-C9/100)</f>
        <v>-1285.7227185224647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-214.28711975374412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0.90996542988291496</v>
      </c>
    </row>
    <row r="30" spans="1:4" x14ac:dyDescent="0.2">
      <c r="A30" s="1" t="s">
        <v>15</v>
      </c>
      <c r="B30" t="s">
        <v>3</v>
      </c>
      <c r="C30" s="3">
        <f>COS(C15)*SIN(C20)/C29</f>
        <v>0.26181733998823536</v>
      </c>
    </row>
    <row r="31" spans="1:4" x14ac:dyDescent="0.2">
      <c r="A31" s="1" t="s">
        <v>15</v>
      </c>
      <c r="B31" t="s">
        <v>27</v>
      </c>
      <c r="C31" s="3">
        <f>IF(C30&gt;0.99, 0.99, C30)</f>
        <v>0.26181733998823536</v>
      </c>
    </row>
    <row r="32" spans="1:4" x14ac:dyDescent="0.2">
      <c r="A32" s="1" t="s">
        <v>15</v>
      </c>
      <c r="B32" t="s">
        <v>28</v>
      </c>
      <c r="C32" s="3">
        <f>IF(C31&lt;-0.99, -0.99, C31)</f>
        <v>0.26181733998823536</v>
      </c>
    </row>
    <row r="33" spans="1:3" x14ac:dyDescent="0.2">
      <c r="A33" s="1" t="s">
        <v>15</v>
      </c>
      <c r="B33" t="s">
        <v>4</v>
      </c>
      <c r="C33" s="3">
        <f>1-C31*C31</f>
        <v>0.93145168048148475</v>
      </c>
    </row>
    <row r="34" spans="1:3" x14ac:dyDescent="0.2">
      <c r="A34" s="1" t="s">
        <v>15</v>
      </c>
      <c r="B34" t="s">
        <v>29</v>
      </c>
      <c r="C34" s="3">
        <f>ATAN(C32/(1.001-C33)^0.5)</f>
        <v>0.78177747882975079</v>
      </c>
    </row>
    <row r="35" spans="1:3" x14ac:dyDescent="0.2">
      <c r="A35" s="1" t="s">
        <v>15</v>
      </c>
      <c r="B35" t="s">
        <v>53</v>
      </c>
      <c r="C35" s="3">
        <f>IF(C18&lt;0, -3.141592-C34,C34)</f>
        <v>-3.9233694788297511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-0.41469538695632241</v>
      </c>
    </row>
    <row r="38" spans="1:3" x14ac:dyDescent="0.2">
      <c r="A38" s="1" t="s">
        <v>32</v>
      </c>
      <c r="B38" t="s">
        <v>30</v>
      </c>
      <c r="C38" s="3">
        <f>C37/C22</f>
        <v>1.0000271785860062</v>
      </c>
    </row>
    <row r="39" spans="1:3" x14ac:dyDescent="0.2">
      <c r="A39" s="1" t="s">
        <v>32</v>
      </c>
      <c r="B39" t="s">
        <v>31</v>
      </c>
      <c r="C39" s="3">
        <f>IF(C38&lt;0, 0, C38)</f>
        <v>1.0000271785860062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="150" zoomScaleNormal="150" zoomScalePageLayoutView="150" workbookViewId="0">
      <pane ySplit="2" topLeftCell="A11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-0.4146841164283987</v>
      </c>
    </row>
    <row r="22" spans="1:4" x14ac:dyDescent="0.2">
      <c r="A22" s="1">
        <v>1049</v>
      </c>
      <c r="B22" t="s">
        <v>1</v>
      </c>
      <c r="C22" s="3">
        <f>IF(C21&gt;0.99, 0.99, C21)</f>
        <v>-0.4146841164283987</v>
      </c>
    </row>
    <row r="23" spans="1:4" x14ac:dyDescent="0.2">
      <c r="A23" s="1">
        <v>1080</v>
      </c>
      <c r="B23" t="s">
        <v>39</v>
      </c>
      <c r="C23" s="15">
        <f>1.94*1440*C22*C8^(1/C22)</f>
        <v>-1714.296958029953</v>
      </c>
    </row>
    <row r="24" spans="1:4" x14ac:dyDescent="0.2">
      <c r="A24" s="5" t="s">
        <v>15</v>
      </c>
      <c r="B24" s="6" t="s">
        <v>36</v>
      </c>
      <c r="C24" s="16">
        <f>C23*(1-C9/100)</f>
        <v>-1285.7227185224647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-214.28711975374412</v>
      </c>
      <c r="D27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0.90996542988291496</v>
      </c>
    </row>
    <row r="30" spans="1:4" x14ac:dyDescent="0.2">
      <c r="A30" s="1" t="s">
        <v>15</v>
      </c>
      <c r="B30" t="s">
        <v>3</v>
      </c>
      <c r="C30" s="3">
        <f>COS(C15)*SIN(C20)/C29</f>
        <v>-0.26181733998823536</v>
      </c>
    </row>
    <row r="31" spans="1:4" x14ac:dyDescent="0.2">
      <c r="A31" s="1" t="s">
        <v>15</v>
      </c>
      <c r="B31" t="s">
        <v>27</v>
      </c>
      <c r="C31" s="3">
        <f>IF(C30&gt;0.99, 0.99, C30)</f>
        <v>-0.26181733998823536</v>
      </c>
    </row>
    <row r="32" spans="1:4" x14ac:dyDescent="0.2">
      <c r="A32" s="1" t="s">
        <v>15</v>
      </c>
      <c r="B32" t="s">
        <v>28</v>
      </c>
      <c r="C32" s="3">
        <f>IF(C31&lt;-0.99, -0.99, C31)</f>
        <v>-0.26181733998823536</v>
      </c>
    </row>
    <row r="33" spans="1:3" x14ac:dyDescent="0.2">
      <c r="A33" s="1" t="s">
        <v>15</v>
      </c>
      <c r="B33" t="s">
        <v>4</v>
      </c>
      <c r="C33" s="3">
        <f>1-C31*C31</f>
        <v>0.93145168048148475</v>
      </c>
    </row>
    <row r="34" spans="1:3" x14ac:dyDescent="0.2">
      <c r="A34" s="1" t="s">
        <v>15</v>
      </c>
      <c r="B34" t="s">
        <v>29</v>
      </c>
      <c r="C34" s="3">
        <f>ATAN(C32/(1.001-C33)^0.5)</f>
        <v>-0.78177747882975079</v>
      </c>
    </row>
    <row r="35" spans="1:3" x14ac:dyDescent="0.2">
      <c r="A35" s="1" t="s">
        <v>15</v>
      </c>
      <c r="B35" t="s">
        <v>53</v>
      </c>
      <c r="C35" s="3">
        <f>IF(C18&lt;0, -3.141592-C34,C34)</f>
        <v>-2.3598145211702493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-0.41469538733228145</v>
      </c>
    </row>
    <row r="38" spans="1:3" x14ac:dyDescent="0.2">
      <c r="A38" s="1" t="s">
        <v>32</v>
      </c>
      <c r="B38" t="s">
        <v>30</v>
      </c>
      <c r="C38" s="3">
        <f>C37/C22</f>
        <v>1.0000271794926217</v>
      </c>
    </row>
    <row r="39" spans="1:3" x14ac:dyDescent="0.2">
      <c r="A39" s="1" t="s">
        <v>32</v>
      </c>
      <c r="B39" t="s">
        <v>31</v>
      </c>
      <c r="C39" s="3">
        <f>IF(C38&lt;0, 0, C38)</f>
        <v>1.0000271794926217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zoomScale="150" zoomScaleNormal="150" zoomScalePageLayoutView="150" workbookViewId="0">
      <pane ySplit="2" topLeftCell="A7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-0.34528287120634232</v>
      </c>
    </row>
    <row r="22" spans="1:4" x14ac:dyDescent="0.2">
      <c r="A22" s="1">
        <v>1049</v>
      </c>
      <c r="B22" t="s">
        <v>1</v>
      </c>
      <c r="C22" s="3">
        <f>IF(C21&gt;0.99, 0.99, C21)</f>
        <v>-0.34528287120634232</v>
      </c>
    </row>
    <row r="23" spans="1:4" x14ac:dyDescent="0.2">
      <c r="A23" s="1">
        <v>1080</v>
      </c>
      <c r="B23" t="s">
        <v>39</v>
      </c>
      <c r="C23" s="15">
        <f>1.94*1440*C22*C8^(1/C22)</f>
        <v>-1544.3810960764129</v>
      </c>
    </row>
    <row r="24" spans="1:4" x14ac:dyDescent="0.2">
      <c r="A24" s="5" t="s">
        <v>15</v>
      </c>
      <c r="B24" s="6" t="s">
        <v>36</v>
      </c>
      <c r="C24" s="16">
        <f>C23*(1-C9/100)</f>
        <v>-1158.2858220573096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-193.04763700955161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0.93849866214689104</v>
      </c>
    </row>
    <row r="30" spans="1:4" x14ac:dyDescent="0.2">
      <c r="A30" s="1" t="s">
        <v>15</v>
      </c>
      <c r="B30" t="s">
        <v>3</v>
      </c>
      <c r="C30" s="3">
        <f>COS(C15)*SIN(C20)/C29</f>
        <v>-0.49041399396353069</v>
      </c>
    </row>
    <row r="31" spans="1:4" x14ac:dyDescent="0.2">
      <c r="A31" s="1" t="s">
        <v>15</v>
      </c>
      <c r="B31" t="s">
        <v>27</v>
      </c>
      <c r="C31" s="3">
        <f>IF(C30&gt;0.99, 0.99, C30)</f>
        <v>-0.49041399396353069</v>
      </c>
    </row>
    <row r="32" spans="1:4" x14ac:dyDescent="0.2">
      <c r="A32" s="1" t="s">
        <v>15</v>
      </c>
      <c r="B32" t="s">
        <v>28</v>
      </c>
      <c r="C32" s="3">
        <f>IF(C31&lt;-0.99, -0.99, C31)</f>
        <v>-0.49041399396353069</v>
      </c>
    </row>
    <row r="33" spans="1:3" x14ac:dyDescent="0.2">
      <c r="A33" s="1" t="s">
        <v>15</v>
      </c>
      <c r="B33" t="s">
        <v>4</v>
      </c>
      <c r="C33" s="3">
        <f>1-C31*C31</f>
        <v>0.75949411452473803</v>
      </c>
    </row>
    <row r="34" spans="1:3" x14ac:dyDescent="0.2">
      <c r="A34" s="1" t="s">
        <v>15</v>
      </c>
      <c r="B34" t="s">
        <v>29</v>
      </c>
      <c r="C34" s="3">
        <f>ATAN(C32/(1.001-C33)^0.5)</f>
        <v>-0.78436084358741209</v>
      </c>
    </row>
    <row r="35" spans="1:3" x14ac:dyDescent="0.2">
      <c r="A35" s="1" t="s">
        <v>15</v>
      </c>
      <c r="B35" t="s">
        <v>53</v>
      </c>
      <c r="C35" s="3">
        <f>IF(C18&lt;0, -3.141592-C34,C34)</f>
        <v>-2.3572311564125883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-0.34529446568654748</v>
      </c>
    </row>
    <row r="38" spans="1:3" x14ac:dyDescent="0.2">
      <c r="A38" s="1" t="s">
        <v>32</v>
      </c>
      <c r="B38" t="s">
        <v>30</v>
      </c>
      <c r="C38" s="3">
        <f>C37/C22</f>
        <v>1.0000335796564848</v>
      </c>
    </row>
    <row r="39" spans="1:3" x14ac:dyDescent="0.2">
      <c r="A39" s="1" t="s">
        <v>32</v>
      </c>
      <c r="B39" t="s">
        <v>31</v>
      </c>
      <c r="C39" s="3">
        <f>IF(C38&lt;0, 0, C38)</f>
        <v>1.0000335796564848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zoomScale="150" zoomScaleNormal="150" zoomScalePageLayoutView="150" workbookViewId="0">
      <pane ySplit="2" topLeftCell="A7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-0.23488151122833584</v>
      </c>
    </row>
    <row r="22" spans="1:4" x14ac:dyDescent="0.2">
      <c r="A22" s="1">
        <v>1049</v>
      </c>
      <c r="B22" t="s">
        <v>1</v>
      </c>
      <c r="C22" s="3">
        <f>IF(C21&gt;0.99, 0.99, C21)</f>
        <v>-0.23488151122833584</v>
      </c>
    </row>
    <row r="23" spans="1:4" x14ac:dyDescent="0.2">
      <c r="A23" s="1">
        <v>1080</v>
      </c>
      <c r="B23" t="s">
        <v>39</v>
      </c>
      <c r="C23" s="15">
        <f>1.94*1440*C22*C8^(1/C22)</f>
        <v>-1310.7189068670921</v>
      </c>
    </row>
    <row r="24" spans="1:4" x14ac:dyDescent="0.2">
      <c r="A24" s="5" t="s">
        <v>15</v>
      </c>
      <c r="B24" s="6" t="s">
        <v>36</v>
      </c>
      <c r="C24" s="16">
        <f>C23*(1-C9/100)</f>
        <v>-983.039180150319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-163.83986335838651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0.97202400982850889</v>
      </c>
    </row>
    <row r="30" spans="1:4" x14ac:dyDescent="0.2">
      <c r="A30" s="1" t="s">
        <v>15</v>
      </c>
      <c r="B30" t="s">
        <v>3</v>
      </c>
      <c r="C30" s="3">
        <f>COS(C15)*SIN(C20)/C29</f>
        <v>-0.66962910334283821</v>
      </c>
    </row>
    <row r="31" spans="1:4" x14ac:dyDescent="0.2">
      <c r="A31" s="1" t="s">
        <v>15</v>
      </c>
      <c r="B31" t="s">
        <v>27</v>
      </c>
      <c r="C31" s="3">
        <f>IF(C30&gt;0.99, 0.99, C30)</f>
        <v>-0.66962910334283821</v>
      </c>
    </row>
    <row r="32" spans="1:4" x14ac:dyDescent="0.2">
      <c r="A32" s="1" t="s">
        <v>15</v>
      </c>
      <c r="B32" t="s">
        <v>28</v>
      </c>
      <c r="C32" s="3">
        <f>IF(C31&lt;-0.99, -0.99, C31)</f>
        <v>-0.66962910334283821</v>
      </c>
    </row>
    <row r="33" spans="1:3" x14ac:dyDescent="0.2">
      <c r="A33" s="1" t="s">
        <v>15</v>
      </c>
      <c r="B33" t="s">
        <v>4</v>
      </c>
      <c r="C33" s="3">
        <f>1-C31*C31</f>
        <v>0.5515968639562665</v>
      </c>
    </row>
    <row r="34" spans="1:3" x14ac:dyDescent="0.2">
      <c r="A34" s="1" t="s">
        <v>15</v>
      </c>
      <c r="B34" t="s">
        <v>29</v>
      </c>
      <c r="C34" s="3">
        <f>ATAN(C32/(1.001-C33)^0.5)</f>
        <v>-0.78484125026492868</v>
      </c>
    </row>
    <row r="35" spans="1:3" x14ac:dyDescent="0.2">
      <c r="A35" s="1" t="s">
        <v>15</v>
      </c>
      <c r="B35" t="s">
        <v>53</v>
      </c>
      <c r="C35" s="3">
        <f>IF(C18&lt;0, -3.141592-C34,C34)</f>
        <v>-2.3567507497350713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-0.23489351415064069</v>
      </c>
    </row>
    <row r="38" spans="1:3" x14ac:dyDescent="0.2">
      <c r="A38" s="1" t="s">
        <v>32</v>
      </c>
      <c r="B38" t="s">
        <v>30</v>
      </c>
      <c r="C38" s="3">
        <f>C37/C22</f>
        <v>1.0000511020311564</v>
      </c>
    </row>
    <row r="39" spans="1:3" x14ac:dyDescent="0.2">
      <c r="A39" s="1" t="s">
        <v>32</v>
      </c>
      <c r="B39" t="s">
        <v>31</v>
      </c>
      <c r="C39" s="3">
        <f>IF(C38&lt;0, 0, C38)</f>
        <v>1.0000511020311564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zoomScale="150" zoomScaleNormal="150" zoomScalePageLayoutView="150" workbookViewId="0">
      <pane ySplit="2" topLeftCell="A9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4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-9.1003703617397458E-2</v>
      </c>
    </row>
    <row r="22" spans="1:4" x14ac:dyDescent="0.2">
      <c r="A22" s="1">
        <v>1049</v>
      </c>
      <c r="B22" t="s">
        <v>1</v>
      </c>
      <c r="C22" s="3">
        <f>IF(C21&gt;0.99, 0.99, C21)</f>
        <v>-9.1003703617397458E-2</v>
      </c>
    </row>
    <row r="23" spans="1:4" x14ac:dyDescent="0.2">
      <c r="A23" s="1">
        <v>1080</v>
      </c>
      <c r="B23" t="s">
        <v>39</v>
      </c>
      <c r="C23" s="15">
        <f>1.94*1440*C22*C8^(1/C22)</f>
        <v>-1516.3795704640804</v>
      </c>
    </row>
    <row r="24" spans="1:4" x14ac:dyDescent="0.2">
      <c r="A24" s="5" t="s">
        <v>15</v>
      </c>
      <c r="B24" s="6" t="s">
        <v>36</v>
      </c>
      <c r="C24" s="16">
        <f>C23*(1-C9/100)</f>
        <v>-1137.2846778480603</v>
      </c>
    </row>
    <row r="25" spans="1:4" x14ac:dyDescent="0.2">
      <c r="A25" s="32"/>
      <c r="B25" s="33" t="s">
        <v>35</v>
      </c>
      <c r="C25" s="34">
        <f>IF(C24&lt;0, 0, C24)</f>
        <v>0</v>
      </c>
    </row>
    <row r="26" spans="1:4" x14ac:dyDescent="0.2">
      <c r="A26" s="7"/>
      <c r="B26" s="8" t="s">
        <v>54</v>
      </c>
      <c r="C26" s="17">
        <f>C25*C39</f>
        <v>0</v>
      </c>
    </row>
    <row r="27" spans="1:4" x14ac:dyDescent="0.2">
      <c r="A27" s="32" t="s">
        <v>15</v>
      </c>
      <c r="B27" s="33" t="s">
        <v>38</v>
      </c>
      <c r="C27" s="34">
        <f>0.5*C23*C9/100</f>
        <v>-189.54744630801005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0.99585055401295874</v>
      </c>
    </row>
    <row r="30" spans="1:4" x14ac:dyDescent="0.2">
      <c r="A30" s="1" t="s">
        <v>15</v>
      </c>
      <c r="B30" t="s">
        <v>3</v>
      </c>
      <c r="C30" s="3">
        <f>COS(C15)*SIN(C20)/C29</f>
        <v>-0.8005024579122163</v>
      </c>
    </row>
    <row r="31" spans="1:4" x14ac:dyDescent="0.2">
      <c r="A31" s="1" t="s">
        <v>15</v>
      </c>
      <c r="B31" t="s">
        <v>27</v>
      </c>
      <c r="C31" s="3">
        <f>IF(C30&gt;0.99, 0.99, C30)</f>
        <v>-0.8005024579122163</v>
      </c>
    </row>
    <row r="32" spans="1:4" x14ac:dyDescent="0.2">
      <c r="A32" s="1" t="s">
        <v>15</v>
      </c>
      <c r="B32" t="s">
        <v>28</v>
      </c>
      <c r="C32" s="3">
        <f>IF(C31&lt;-0.99, -0.99, C31)</f>
        <v>-0.8005024579122163</v>
      </c>
    </row>
    <row r="33" spans="1:3" x14ac:dyDescent="0.2">
      <c r="A33" s="1" t="s">
        <v>15</v>
      </c>
      <c r="B33" t="s">
        <v>4</v>
      </c>
      <c r="C33" s="3">
        <f>1-C31*C31</f>
        <v>0.35919581487650032</v>
      </c>
    </row>
    <row r="34" spans="1:3" x14ac:dyDescent="0.2">
      <c r="A34" s="1" t="s">
        <v>15</v>
      </c>
      <c r="B34" t="s">
        <v>29</v>
      </c>
      <c r="C34" s="3">
        <f>ATAN(C32/(1.001-C33)^0.5)</f>
        <v>-0.78500833275057691</v>
      </c>
    </row>
    <row r="35" spans="1:3" x14ac:dyDescent="0.2">
      <c r="A35" s="1" t="s">
        <v>15</v>
      </c>
      <c r="B35" t="s">
        <v>53</v>
      </c>
      <c r="C35" s="3">
        <f>IF(C18&lt;0, -3.141592-C34,C34)</f>
        <v>-2.3565836672494234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-9.1015998729267522E-2</v>
      </c>
    </row>
    <row r="38" spans="1:3" x14ac:dyDescent="0.2">
      <c r="A38" s="1" t="s">
        <v>32</v>
      </c>
      <c r="B38" t="s">
        <v>30</v>
      </c>
      <c r="C38" s="3">
        <f>C37/C22</f>
        <v>1.0001351056207752</v>
      </c>
    </row>
    <row r="39" spans="1:3" x14ac:dyDescent="0.2">
      <c r="A39" s="1" t="s">
        <v>32</v>
      </c>
      <c r="B39" t="s">
        <v>31</v>
      </c>
      <c r="C39" s="3">
        <f>IF(C38&lt;0, 0, C38)</f>
        <v>1.0001351056207752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5</v>
      </c>
      <c r="D1" s="13" t="s">
        <v>33</v>
      </c>
      <c r="E1" s="12" t="s">
        <v>34</v>
      </c>
    </row>
    <row r="2" spans="1:6" x14ac:dyDescent="0.2">
      <c r="D2" s="18">
        <f>C26</f>
        <v>19.186496548775605</v>
      </c>
      <c r="E2" s="17">
        <f>C28</f>
        <v>3.1982637346210798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7.6545520863537136E-2</v>
      </c>
    </row>
    <row r="22" spans="1:4" x14ac:dyDescent="0.2">
      <c r="A22" s="1">
        <v>1049</v>
      </c>
      <c r="B22" t="s">
        <v>1</v>
      </c>
      <c r="C22" s="3">
        <f>IF(C21&gt;0.99, 0.99, C21)</f>
        <v>7.6545520863537136E-2</v>
      </c>
    </row>
    <row r="23" spans="1:4" x14ac:dyDescent="0.2">
      <c r="A23" s="1">
        <v>1080</v>
      </c>
      <c r="B23" t="s">
        <v>39</v>
      </c>
      <c r="C23" s="15">
        <f>1.94*1440*C22*C8^(1/C22)</f>
        <v>25.586109876968639</v>
      </c>
    </row>
    <row r="24" spans="1:4" x14ac:dyDescent="0.2">
      <c r="A24" s="5" t="s">
        <v>15</v>
      </c>
      <c r="B24" s="6" t="s">
        <v>36</v>
      </c>
      <c r="C24" s="16">
        <f>C23*(1-C9/100)</f>
        <v>19.18958240772648</v>
      </c>
    </row>
    <row r="25" spans="1:4" x14ac:dyDescent="0.2">
      <c r="A25" s="32"/>
      <c r="B25" s="33" t="s">
        <v>35</v>
      </c>
      <c r="C25" s="34">
        <f>IF(C24&lt;0, 0, C24)</f>
        <v>19.18958240772648</v>
      </c>
    </row>
    <row r="26" spans="1:4" x14ac:dyDescent="0.2">
      <c r="A26" s="7"/>
      <c r="B26" s="8" t="s">
        <v>54</v>
      </c>
      <c r="C26" s="17">
        <f>C25*C39</f>
        <v>19.186496548775605</v>
      </c>
    </row>
    <row r="27" spans="1:4" x14ac:dyDescent="0.2">
      <c r="A27" s="32" t="s">
        <v>15</v>
      </c>
      <c r="B27" s="33" t="s">
        <v>38</v>
      </c>
      <c r="C27" s="34">
        <f>0.5*C23*C9/100</f>
        <v>3.1982637346210798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3.1982637346210798</v>
      </c>
    </row>
    <row r="29" spans="1:4" x14ac:dyDescent="0.2">
      <c r="A29" s="1" t="s">
        <v>15</v>
      </c>
      <c r="B29" t="s">
        <v>2</v>
      </c>
      <c r="C29" s="3">
        <f>(1-C22*C22)^0.5</f>
        <v>0.99706608769716454</v>
      </c>
    </row>
    <row r="30" spans="1:4" x14ac:dyDescent="0.2">
      <c r="A30" s="1" t="s">
        <v>15</v>
      </c>
      <c r="B30" t="s">
        <v>3</v>
      </c>
      <c r="C30" s="3">
        <f>COS(C15)*SIN(C20)/C29</f>
        <v>-0.8917558670363761</v>
      </c>
    </row>
    <row r="31" spans="1:4" x14ac:dyDescent="0.2">
      <c r="A31" s="1" t="s">
        <v>15</v>
      </c>
      <c r="B31" t="s">
        <v>27</v>
      </c>
      <c r="C31" s="3">
        <f>IF(C30&gt;0.99, 0.99, C30)</f>
        <v>-0.8917558670363761</v>
      </c>
    </row>
    <row r="32" spans="1:4" x14ac:dyDescent="0.2">
      <c r="A32" s="1" t="s">
        <v>15</v>
      </c>
      <c r="B32" t="s">
        <v>28</v>
      </c>
      <c r="C32" s="3">
        <f>IF(C31&lt;-0.99, -0.99, C31)</f>
        <v>-0.8917558670363761</v>
      </c>
    </row>
    <row r="33" spans="1:3" x14ac:dyDescent="0.2">
      <c r="A33" s="1" t="s">
        <v>15</v>
      </c>
      <c r="B33" t="s">
        <v>4</v>
      </c>
      <c r="C33" s="3">
        <f>1-C31*C31</f>
        <v>0.20477147360620107</v>
      </c>
    </row>
    <row r="34" spans="1:3" x14ac:dyDescent="0.2">
      <c r="A34" s="1" t="s">
        <v>15</v>
      </c>
      <c r="B34" t="s">
        <v>29</v>
      </c>
      <c r="C34" s="3">
        <f>ATAN(C32/(1.001-C33)^0.5)</f>
        <v>-0.78508398587564421</v>
      </c>
    </row>
    <row r="35" spans="1:3" x14ac:dyDescent="0.2">
      <c r="A35" s="1" t="s">
        <v>15</v>
      </c>
      <c r="B35" t="s">
        <v>53</v>
      </c>
      <c r="C35" s="3">
        <f>IF(C18&lt;0, -3.141592-C34,C34)</f>
        <v>-2.3565080141243557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7.6533211649314162E-2</v>
      </c>
    </row>
    <row r="38" spans="1:3" x14ac:dyDescent="0.2">
      <c r="A38" s="1" t="s">
        <v>32</v>
      </c>
      <c r="B38" t="s">
        <v>30</v>
      </c>
      <c r="C38" s="3">
        <f>C37/C22</f>
        <v>0.99983919092738405</v>
      </c>
    </row>
    <row r="39" spans="1:3" x14ac:dyDescent="0.2">
      <c r="A39" s="1" t="s">
        <v>32</v>
      </c>
      <c r="B39" t="s">
        <v>31</v>
      </c>
      <c r="C39" s="3">
        <f>IF(C38&lt;0, 0, C38)</f>
        <v>0.99983919092738405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6</v>
      </c>
      <c r="D1" s="13" t="s">
        <v>33</v>
      </c>
      <c r="E1" s="12" t="s">
        <v>34</v>
      </c>
    </row>
    <row r="2" spans="1:6" x14ac:dyDescent="0.2">
      <c r="D2" s="18">
        <f>C26</f>
        <v>284.90630686268707</v>
      </c>
      <c r="E2" s="17">
        <f>C28</f>
        <v>47.486594880927377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0.25634796417808936</v>
      </c>
    </row>
    <row r="22" spans="1:4" x14ac:dyDescent="0.2">
      <c r="A22" s="1">
        <v>1049</v>
      </c>
      <c r="B22" t="s">
        <v>1</v>
      </c>
      <c r="C22" s="3">
        <f>IF(C21&gt;0.99, 0.99, C21)</f>
        <v>0.25634796417808936</v>
      </c>
    </row>
    <row r="23" spans="1:4" x14ac:dyDescent="0.2">
      <c r="A23" s="1">
        <v>1080</v>
      </c>
      <c r="B23" t="s">
        <v>39</v>
      </c>
      <c r="C23" s="15">
        <f>1.94*1440*C22*C8^(1/C22)</f>
        <v>379.89275904741902</v>
      </c>
    </row>
    <row r="24" spans="1:4" x14ac:dyDescent="0.2">
      <c r="A24" s="5" t="s">
        <v>15</v>
      </c>
      <c r="B24" s="6" t="s">
        <v>36</v>
      </c>
      <c r="C24" s="16">
        <f>C23*(1-C9/100)</f>
        <v>284.91956928556425</v>
      </c>
    </row>
    <row r="25" spans="1:4" x14ac:dyDescent="0.2">
      <c r="A25" s="32"/>
      <c r="B25" s="33" t="s">
        <v>35</v>
      </c>
      <c r="C25" s="34">
        <f>IF(C24&lt;0, 0, C24)</f>
        <v>284.91956928556425</v>
      </c>
    </row>
    <row r="26" spans="1:4" x14ac:dyDescent="0.2">
      <c r="A26" s="7"/>
      <c r="B26" s="8" t="s">
        <v>54</v>
      </c>
      <c r="C26" s="17">
        <f>C25*C39</f>
        <v>284.90630686268707</v>
      </c>
    </row>
    <row r="27" spans="1:4" x14ac:dyDescent="0.2">
      <c r="A27" s="32" t="s">
        <v>15</v>
      </c>
      <c r="B27" s="33" t="s">
        <v>38</v>
      </c>
      <c r="C27" s="34">
        <f>0.5*C23*C9/100</f>
        <v>47.486594880927377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47.486594880927377</v>
      </c>
    </row>
    <row r="29" spans="1:4" x14ac:dyDescent="0.2">
      <c r="A29" s="1" t="s">
        <v>15</v>
      </c>
      <c r="B29" t="s">
        <v>2</v>
      </c>
      <c r="C29" s="3">
        <f>(1-C22*C22)^0.5</f>
        <v>0.96658456498215872</v>
      </c>
    </row>
    <row r="30" spans="1:4" x14ac:dyDescent="0.2">
      <c r="A30" s="1" t="s">
        <v>15</v>
      </c>
      <c r="B30" t="s">
        <v>3</v>
      </c>
      <c r="C30" s="3">
        <f>COS(C15)*SIN(C20)/C29</f>
        <v>-0.95232731768378309</v>
      </c>
    </row>
    <row r="31" spans="1:4" x14ac:dyDescent="0.2">
      <c r="A31" s="1" t="s">
        <v>15</v>
      </c>
      <c r="B31" t="s">
        <v>27</v>
      </c>
      <c r="C31" s="3">
        <f>IF(C30&gt;0.99, 0.99, C30)</f>
        <v>-0.95232731768378309</v>
      </c>
    </row>
    <row r="32" spans="1:4" x14ac:dyDescent="0.2">
      <c r="A32" s="1" t="s">
        <v>15</v>
      </c>
      <c r="B32" t="s">
        <v>28</v>
      </c>
      <c r="C32" s="3">
        <f>IF(C31&lt;-0.99, -0.99, C31)</f>
        <v>-0.95232731768378309</v>
      </c>
    </row>
    <row r="33" spans="1:3" x14ac:dyDescent="0.2">
      <c r="A33" s="1" t="s">
        <v>15</v>
      </c>
      <c r="B33" t="s">
        <v>4</v>
      </c>
      <c r="C33" s="3">
        <f>1-C31*C31</f>
        <v>9.3072679993210894E-2</v>
      </c>
    </row>
    <row r="34" spans="1:3" x14ac:dyDescent="0.2">
      <c r="A34" s="1" t="s">
        <v>15</v>
      </c>
      <c r="B34" t="s">
        <v>29</v>
      </c>
      <c r="C34" s="3">
        <f>ATAN(C32/(1.001-C33)^0.5)</f>
        <v>-0.78512265922522606</v>
      </c>
    </row>
    <row r="35" spans="1:3" x14ac:dyDescent="0.2">
      <c r="A35" s="1" t="s">
        <v>15</v>
      </c>
      <c r="B35" t="s">
        <v>53</v>
      </c>
      <c r="C35" s="3">
        <f>IF(C18&lt;0, -3.141592-C34,C34)</f>
        <v>-2.3564693407747743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0.25633603170495967</v>
      </c>
    </row>
    <row r="38" spans="1:3" x14ac:dyDescent="0.2">
      <c r="A38" s="1" t="s">
        <v>32</v>
      </c>
      <c r="B38" t="s">
        <v>30</v>
      </c>
      <c r="C38" s="3">
        <f>C37/C22</f>
        <v>0.99995345204644803</v>
      </c>
    </row>
    <row r="39" spans="1:3" x14ac:dyDescent="0.2">
      <c r="A39" s="1" t="s">
        <v>32</v>
      </c>
      <c r="B39" t="s">
        <v>31</v>
      </c>
      <c r="C39" s="3">
        <f>IF(C38&lt;0, 0, C38)</f>
        <v>0.99995345204644803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zoomScale="150" zoomScaleNormal="150" zoomScalePageLayoutView="150" workbookViewId="0">
      <pane ySplit="2" topLeftCell="A8" activePane="bottomLeft" state="frozenSplit"/>
      <selection pane="bottomLeft" activeCell="C35" sqref="C35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7</v>
      </c>
      <c r="D1" s="13" t="s">
        <v>33</v>
      </c>
      <c r="E1" s="12" t="s">
        <v>34</v>
      </c>
    </row>
    <row r="2" spans="1:6" x14ac:dyDescent="0.2">
      <c r="D2" s="18">
        <f>C26</f>
        <v>629.53997594438647</v>
      </c>
      <c r="E2" s="17">
        <f>C28</f>
        <v>104.92600178738597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Inputs!B5+0.001</f>
        <v>41.000999999999998</v>
      </c>
      <c r="F4" s="1"/>
    </row>
    <row r="5" spans="1:6" x14ac:dyDescent="0.2">
      <c r="A5" s="1">
        <v>2412</v>
      </c>
      <c r="B5" t="s">
        <v>10</v>
      </c>
      <c r="C5" s="10">
        <f>Inputs!B6</f>
        <v>0</v>
      </c>
      <c r="F5" s="1"/>
    </row>
    <row r="6" spans="1:6" x14ac:dyDescent="0.2">
      <c r="A6" s="1">
        <v>2432</v>
      </c>
      <c r="B6" t="s">
        <v>22</v>
      </c>
      <c r="C6" s="10">
        <f>Inputs!B7</f>
        <v>0</v>
      </c>
      <c r="F6" s="1"/>
    </row>
    <row r="7" spans="1:6" x14ac:dyDescent="0.2">
      <c r="A7" s="1">
        <v>2372</v>
      </c>
      <c r="B7" t="s">
        <v>11</v>
      </c>
      <c r="C7" s="10">
        <f>Inputs!B8</f>
        <v>23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Inputs!B9</f>
        <v>25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0.71560229773333339</v>
      </c>
      <c r="F14" s="1"/>
    </row>
    <row r="15" spans="1:6" x14ac:dyDescent="0.2">
      <c r="A15" s="1" t="s">
        <v>17</v>
      </c>
      <c r="B15" t="s">
        <v>19</v>
      </c>
      <c r="C15" s="4">
        <f>C7*C11</f>
        <v>0.40142564444444451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0.43615039202123329</v>
      </c>
    </row>
    <row r="22" spans="1:4" x14ac:dyDescent="0.2">
      <c r="A22" s="1">
        <v>1049</v>
      </c>
      <c r="B22" t="s">
        <v>1</v>
      </c>
      <c r="C22" s="3">
        <f>IF(C21&gt;0.99, 0.99, C21)</f>
        <v>0.43615039202123329</v>
      </c>
    </row>
    <row r="23" spans="1:4" x14ac:dyDescent="0.2">
      <c r="A23" s="1">
        <v>1080</v>
      </c>
      <c r="B23" t="s">
        <v>39</v>
      </c>
      <c r="C23" s="15">
        <f>1.94*1440*C22*C8^(1/C22)</f>
        <v>839.40801429908788</v>
      </c>
    </row>
    <row r="24" spans="1:4" x14ac:dyDescent="0.2">
      <c r="A24" s="5" t="s">
        <v>15</v>
      </c>
      <c r="B24" s="6" t="s">
        <v>36</v>
      </c>
      <c r="C24" s="16">
        <f>C23*(1-C9/100)</f>
        <v>629.55601072431591</v>
      </c>
    </row>
    <row r="25" spans="1:4" x14ac:dyDescent="0.2">
      <c r="A25" s="32"/>
      <c r="B25" s="33" t="s">
        <v>35</v>
      </c>
      <c r="C25" s="34">
        <f>IF(C24&lt;0, 0, C24)</f>
        <v>629.55601072431591</v>
      </c>
    </row>
    <row r="26" spans="1:4" x14ac:dyDescent="0.2">
      <c r="A26" s="7"/>
      <c r="B26" s="8" t="s">
        <v>54</v>
      </c>
      <c r="C26" s="17">
        <f>C25*C39</f>
        <v>629.53997594438647</v>
      </c>
    </row>
    <row r="27" spans="1:4" x14ac:dyDescent="0.2">
      <c r="A27" s="32" t="s">
        <v>15</v>
      </c>
      <c r="B27" s="33" t="s">
        <v>38</v>
      </c>
      <c r="C27" s="34">
        <f>0.5*C23*C9/100</f>
        <v>104.92600178738597</v>
      </c>
      <c r="D27" s="51" t="s">
        <v>69</v>
      </c>
    </row>
    <row r="28" spans="1:4" x14ac:dyDescent="0.2">
      <c r="A28" s="7"/>
      <c r="B28" s="8" t="s">
        <v>37</v>
      </c>
      <c r="C28" s="17">
        <f>IF(C27&lt;0, 0, C27)</f>
        <v>104.92600178738597</v>
      </c>
    </row>
    <row r="29" spans="1:4" x14ac:dyDescent="0.2">
      <c r="A29" s="1" t="s">
        <v>15</v>
      </c>
      <c r="B29" t="s">
        <v>2</v>
      </c>
      <c r="C29" s="3">
        <f>(1-C22*C22)^0.5</f>
        <v>0.89987378867245849</v>
      </c>
    </row>
    <row r="30" spans="1:4" x14ac:dyDescent="0.2">
      <c r="A30" s="1" t="s">
        <v>15</v>
      </c>
      <c r="B30" t="s">
        <v>3</v>
      </c>
      <c r="C30" s="3">
        <f>COS(C15)*SIN(C20)/C29</f>
        <v>-0.98807120399041193</v>
      </c>
    </row>
    <row r="31" spans="1:4" x14ac:dyDescent="0.2">
      <c r="A31" s="1" t="s">
        <v>15</v>
      </c>
      <c r="B31" t="s">
        <v>27</v>
      </c>
      <c r="C31" s="3">
        <f>IF(C30&gt;0.99, 0.99, C30)</f>
        <v>-0.98807120399041193</v>
      </c>
    </row>
    <row r="32" spans="1:4" x14ac:dyDescent="0.2">
      <c r="A32" s="1" t="s">
        <v>15</v>
      </c>
      <c r="B32" t="s">
        <v>28</v>
      </c>
      <c r="C32" s="3">
        <f>IF(C31&lt;-0.99, -0.99, C31)</f>
        <v>-0.98807120399041193</v>
      </c>
    </row>
    <row r="33" spans="1:3" x14ac:dyDescent="0.2">
      <c r="A33" s="1" t="s">
        <v>15</v>
      </c>
      <c r="B33" t="s">
        <v>4</v>
      </c>
      <c r="C33" s="3">
        <f>1-C31*C31</f>
        <v>2.3715295844937812E-2</v>
      </c>
    </row>
    <row r="34" spans="1:3" x14ac:dyDescent="0.2">
      <c r="A34" s="1" t="s">
        <v>15</v>
      </c>
      <c r="B34" t="s">
        <v>29</v>
      </c>
      <c r="C34" s="3">
        <f>ATAN(C32/(1.001-C33)^0.5)</f>
        <v>-0.78514222162250635</v>
      </c>
    </row>
    <row r="35" spans="1:3" x14ac:dyDescent="0.2">
      <c r="A35" s="1" t="s">
        <v>15</v>
      </c>
      <c r="B35" t="s">
        <v>53</v>
      </c>
      <c r="C35" s="3">
        <f>IF(C18&lt;0, -3.141592-C34,C34)</f>
        <v>-2.3564497783774936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0.436139283278829</v>
      </c>
    </row>
    <row r="38" spans="1:3" x14ac:dyDescent="0.2">
      <c r="A38" s="1" t="s">
        <v>32</v>
      </c>
      <c r="B38" t="s">
        <v>30</v>
      </c>
      <c r="C38" s="3">
        <f>C37/C22</f>
        <v>0.99997453001852687</v>
      </c>
    </row>
    <row r="39" spans="1:3" x14ac:dyDescent="0.2">
      <c r="A39" s="1" t="s">
        <v>32</v>
      </c>
      <c r="B39" t="s">
        <v>31</v>
      </c>
      <c r="C39" s="3">
        <f>IF(C38&lt;0, 0, C38)</f>
        <v>0.99997453001852687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Inputs</vt:lpstr>
      <vt:lpstr>Hour 0</vt:lpstr>
      <vt:lpstr>Hour 1</vt:lpstr>
      <vt:lpstr>Hour 2</vt:lpstr>
      <vt:lpstr>Hour 3</vt:lpstr>
      <vt:lpstr>Hour 4</vt:lpstr>
      <vt:lpstr>Hour 5</vt:lpstr>
      <vt:lpstr>Hour 6</vt:lpstr>
      <vt:lpstr>Hour 7</vt:lpstr>
      <vt:lpstr>Hour 8</vt:lpstr>
      <vt:lpstr>Hour 9</vt:lpstr>
      <vt:lpstr>Hour 10</vt:lpstr>
      <vt:lpstr>Hour 11</vt:lpstr>
      <vt:lpstr>Hour 12</vt:lpstr>
      <vt:lpstr>Hour 13</vt:lpstr>
      <vt:lpstr>Hour14</vt:lpstr>
      <vt:lpstr>Hour 15</vt:lpstr>
      <vt:lpstr>Hour 16</vt:lpstr>
      <vt:lpstr>Hour 17</vt:lpstr>
      <vt:lpstr>Hour 18</vt:lpstr>
      <vt:lpstr>Hour 19</vt:lpstr>
      <vt:lpstr>Hour 20</vt:lpstr>
      <vt:lpstr>Hour 21</vt:lpstr>
      <vt:lpstr>Hour 22</vt:lpstr>
      <vt:lpstr>Hour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Ehleringer</dc:creator>
  <cp:lastModifiedBy>Jim</cp:lastModifiedBy>
  <dcterms:created xsi:type="dcterms:W3CDTF">2016-09-17T09:05:44Z</dcterms:created>
  <dcterms:modified xsi:type="dcterms:W3CDTF">2021-09-19T20:01:03Z</dcterms:modified>
</cp:coreProperties>
</file>