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imlaptop/Desktop/"/>
    </mc:Choice>
  </mc:AlternateContent>
  <xr:revisionPtr revIDLastSave="0" documentId="13_ncr:1_{816B440D-8E4B-6847-9C5D-8441E6E04EFA}" xr6:coauthVersionLast="36" xr6:coauthVersionMax="36" xr10:uidLastSave="{00000000-0000-0000-0000-000000000000}"/>
  <bookViews>
    <workbookView xWindow="1740" yWindow="800" windowWidth="16520" windowHeight="17900" xr2:uid="{93F7AAF3-B278-CD41-9106-816342C5F6C9}"/>
  </bookViews>
  <sheets>
    <sheet name="Student inputs" sheetId="2" r:id="rId1"/>
    <sheet name="Leaf energy budget calculations" sheetId="3" r:id="rId2"/>
    <sheet name="Table A3" sheetId="1" state="hidden" r:id="rId3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3" l="1"/>
  <c r="C22" i="2"/>
  <c r="D14" i="3"/>
  <c r="D15" i="3"/>
  <c r="D16" i="3"/>
  <c r="D22" i="3"/>
  <c r="F16" i="1"/>
  <c r="D24" i="3"/>
  <c r="D17" i="3"/>
  <c r="D25" i="3"/>
  <c r="D18" i="3"/>
  <c r="A21" i="3"/>
  <c r="D11" i="3"/>
  <c r="D16" i="1"/>
  <c r="D9" i="3"/>
  <c r="A10" i="3"/>
  <c r="A8" i="3"/>
  <c r="D4" i="3"/>
  <c r="A5" i="3"/>
  <c r="A6" i="3"/>
  <c r="A9" i="3"/>
  <c r="A11" i="3"/>
  <c r="D19" i="3"/>
  <c r="C16" i="1"/>
  <c r="A15" i="3"/>
  <c r="A12" i="3"/>
  <c r="A24" i="3"/>
  <c r="A17" i="3"/>
  <c r="A16" i="3"/>
  <c r="A18" i="3"/>
  <c r="A25" i="3"/>
  <c r="C21" i="2"/>
  <c r="D23" i="3"/>
  <c r="C20" i="2"/>
  <c r="G16" i="1"/>
  <c r="E16" i="1"/>
</calcChain>
</file>

<file path=xl/sharedStrings.xml><?xml version="1.0" encoding="utf-8"?>
<sst xmlns="http://schemas.openxmlformats.org/spreadsheetml/2006/main" count="106" uniqueCount="98">
  <si>
    <t>Temperature</t>
  </si>
  <si>
    <t>K</t>
  </si>
  <si>
    <t>C</t>
  </si>
  <si>
    <t>Saturation vapor pressure</t>
  </si>
  <si>
    <t>kPa</t>
  </si>
  <si>
    <t>Slope of vapor pressure function</t>
  </si>
  <si>
    <t>Table A3. Campbell and Norman, Introduction to Environmental Physics, Second Edition</t>
  </si>
  <si>
    <t>Pa</t>
  </si>
  <si>
    <t>Blackbody emittance</t>
  </si>
  <si>
    <t>radiative conductance</t>
  </si>
  <si>
    <t>es(T)</t>
  </si>
  <si>
    <t>D</t>
  </si>
  <si>
    <t>B</t>
  </si>
  <si>
    <t>gr</t>
  </si>
  <si>
    <t>clear sky emissivity</t>
  </si>
  <si>
    <t>ea</t>
  </si>
  <si>
    <t>W m-2</t>
  </si>
  <si>
    <t>mol m-2 s-1</t>
  </si>
  <si>
    <t>Inputs</t>
  </si>
  <si>
    <t>leaf width</t>
  </si>
  <si>
    <t>leaf parameters</t>
  </si>
  <si>
    <t>environmental parameters</t>
  </si>
  <si>
    <t>air temperature</t>
  </si>
  <si>
    <t>relative humidity</t>
  </si>
  <si>
    <t>wind speed</t>
  </si>
  <si>
    <t>Units</t>
  </si>
  <si>
    <t>degrees</t>
  </si>
  <si>
    <t>cm</t>
  </si>
  <si>
    <t>°C</t>
  </si>
  <si>
    <t>%</t>
  </si>
  <si>
    <t>m s-1</t>
  </si>
  <si>
    <t>(direct solar radiation)</t>
  </si>
  <si>
    <t>This program will convert 400-700 nm sunlight (PPFD) into energy units</t>
  </si>
  <si>
    <t>This program will assume a clear sky with 10% diffuse PPFD</t>
  </si>
  <si>
    <t>Ranges</t>
  </si>
  <si>
    <t>0 - 90</t>
  </si>
  <si>
    <t>0.1 - 20</t>
  </si>
  <si>
    <t>0.01 - 1.50</t>
  </si>
  <si>
    <t>0 - 100</t>
  </si>
  <si>
    <t>0.1 - 10</t>
  </si>
  <si>
    <t>30 - 85</t>
  </si>
  <si>
    <t>leaf absorptance (400-700 nm)</t>
  </si>
  <si>
    <t>leaf angle from horizontal</t>
  </si>
  <si>
    <t>PPFD (400-700 nm)</t>
  </si>
  <si>
    <t>incoming infrared from ground (assume air temperature)</t>
  </si>
  <si>
    <t>Stefan Boltzman constant</t>
  </si>
  <si>
    <t>incoming infrared from sky (assume air temperature)</t>
  </si>
  <si>
    <t>emissivity from sky</t>
  </si>
  <si>
    <t>emissivity from ground</t>
  </si>
  <si>
    <t>student input</t>
  </si>
  <si>
    <t>student inputs</t>
  </si>
  <si>
    <t>µmol m-2 s-1</t>
  </si>
  <si>
    <t>0 - 2,100</t>
  </si>
  <si>
    <t>D, calculated air vpd, kPa</t>
  </si>
  <si>
    <t>ea, calculated, kPa</t>
  </si>
  <si>
    <t>esat, calculated at leaf temperature, kPa</t>
  </si>
  <si>
    <t>true vpd, calculated at leaf tempeature, kPa</t>
  </si>
  <si>
    <t>Ta, air temperature, °C</t>
  </si>
  <si>
    <t>u, wind speed, m s-1</t>
  </si>
  <si>
    <t>boundary layers</t>
  </si>
  <si>
    <t>calculated incoming solar radiation, W m-2</t>
  </si>
  <si>
    <t>incoming solar radiation as PPFD, µmol m-2 s-1</t>
  </si>
  <si>
    <t>s, using student input Ta from Table A3, °C-1</t>
  </si>
  <si>
    <r>
      <rPr>
        <sz val="12"/>
        <color theme="1"/>
        <rFont val="Symbol"/>
        <charset val="2"/>
      </rPr>
      <t>g</t>
    </r>
    <r>
      <rPr>
        <sz val="12"/>
        <color theme="1"/>
        <rFont val="Calibri"/>
        <family val="2"/>
        <scheme val="minor"/>
      </rPr>
      <t>*, °C-1</t>
    </r>
  </si>
  <si>
    <r>
      <rPr>
        <sz val="12"/>
        <color theme="1"/>
        <rFont val="Symbol"/>
        <charset val="2"/>
      </rPr>
      <t>g</t>
    </r>
    <r>
      <rPr>
        <sz val="12"/>
        <color theme="1"/>
        <rFont val="Calibri"/>
        <family val="2"/>
        <scheme val="minor"/>
      </rPr>
      <t>, p. 44, °C-1</t>
    </r>
  </si>
  <si>
    <t>lambda, p. 44, 44 kJ mol-1</t>
  </si>
  <si>
    <t>cp, p. 44, 29.3 J mol-1 K-1</t>
  </si>
  <si>
    <t>pa, kPa</t>
  </si>
  <si>
    <t>gHa = 1.4*0.135*sqr (u/d), p. 101, mol m-2 s-1</t>
  </si>
  <si>
    <t>gva = 0.147*sqr (u/d), p. 101, mol m-2 s-1</t>
  </si>
  <si>
    <r>
      <t xml:space="preserve">calculated </t>
    </r>
    <r>
      <rPr>
        <sz val="12"/>
        <color theme="1"/>
        <rFont val="Symbol"/>
        <charset val="2"/>
      </rPr>
      <t>g</t>
    </r>
    <r>
      <rPr>
        <sz val="12"/>
        <color theme="1"/>
        <rFont val="Calibri"/>
        <family val="2"/>
        <scheme val="minor"/>
      </rPr>
      <t xml:space="preserve"> term</t>
    </r>
  </si>
  <si>
    <t>calculated Rabs, W m-2</t>
  </si>
  <si>
    <t>calculated term 2</t>
  </si>
  <si>
    <t>calculated term 3</t>
  </si>
  <si>
    <t>0 - 45</t>
  </si>
  <si>
    <t>gv, leaf conductance top, mol m-2 s-1</t>
  </si>
  <si>
    <t>gv, leaf conductance bottom, mol m-2 s-1</t>
  </si>
  <si>
    <t>gHr = gHa + gr, see calc in Table A3, mol m-2 s-1</t>
  </si>
  <si>
    <t>gv, calculated, mol m-2 s-1</t>
  </si>
  <si>
    <t>Calculated leaf parameters</t>
  </si>
  <si>
    <t>Calculated leaf temperature components for Eqn 14.6 (W m-2)</t>
  </si>
  <si>
    <t>Calculated vapor pressure terms (kPa)</t>
  </si>
  <si>
    <t>Calculated output to students</t>
  </si>
  <si>
    <t xml:space="preserve">leaf temperature, °C </t>
  </si>
  <si>
    <t>transpiration rate, mmol m-2 s-1</t>
  </si>
  <si>
    <t>environmental characteristics</t>
  </si>
  <si>
    <t>d, characteristic dimension calc from leaf width, p. 107, m</t>
  </si>
  <si>
    <t>calculated overall leaf conductance</t>
  </si>
  <si>
    <t>gr, input student air temperature, calc in Table A3, mol m-2 s-1</t>
  </si>
  <si>
    <t>Leaf energy budget calculations (Campbell &amp; Norman, 2nd edition, p.225)</t>
  </si>
  <si>
    <t>Inputs entered in yellow cells</t>
  </si>
  <si>
    <t>Outputs provided in blue cells</t>
  </si>
  <si>
    <t>leaf H2O conductance - top side</t>
  </si>
  <si>
    <t>leaf H2O conductance - bottom side</t>
  </si>
  <si>
    <t>mmol m-2 s-1</t>
  </si>
  <si>
    <t>temperature</t>
  </si>
  <si>
    <t>transpiration rate</t>
  </si>
  <si>
    <t>overall leaf H2O conductance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</si>
</sst>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00000"/>
    <numFmt numFmtId="165" formatCode="0.0"/>
    <numFmt numFmtId="166" formatCode="0.000"/>
    <numFmt numFmtId="167" formatCode="0.000000"/>
    <numFmt numFmtId="168" formatCode="#,##0.0"/>
  </numFmts>
  <fonts count="1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Symbol"/>
      <charset val="2"/>
    </font>
    <font>
      <b/>
      <sz val="12"/>
      <color rgb="FFFF0000"/>
      <name val="Calibri (Body)_x0000_"/>
    </font>
    <font>
      <b/>
      <sz val="12"/>
      <color rgb="FFFF0000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theme="1"/>
      <name val="Symbol"/>
      <charset val="2"/>
    </font>
    <font>
      <sz val="12"/>
      <color theme="1"/>
      <name val="Calibri"/>
      <family val="2"/>
      <charset val="2"/>
      <scheme val="minor"/>
    </font>
    <font>
      <b/>
      <sz val="14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8" fillId="0" borderId="0" xfId="0" applyFont="1"/>
    <xf numFmtId="0" fontId="8" fillId="0" borderId="2" xfId="0" applyFont="1" applyBorder="1"/>
    <xf numFmtId="165" fontId="0" fillId="0" borderId="9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168" fontId="0" fillId="0" borderId="9" xfId="0" applyNumberFormat="1" applyBorder="1" applyAlignment="1">
      <alignment horizontal="center" vertical="center"/>
    </xf>
    <xf numFmtId="166" fontId="0" fillId="0" borderId="9" xfId="0" applyNumberForma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0" fontId="0" fillId="0" borderId="5" xfId="0" applyBorder="1"/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164" fontId="0" fillId="0" borderId="9" xfId="0" applyNumberFormat="1" applyBorder="1"/>
    <xf numFmtId="0" fontId="0" fillId="0" borderId="9" xfId="0" applyBorder="1" applyAlignment="1">
      <alignment horizontal="center" vertical="center"/>
    </xf>
    <xf numFmtId="167" fontId="0" fillId="0" borderId="9" xfId="0" applyNumberFormat="1" applyBorder="1" applyAlignment="1">
      <alignment horizontal="center" vertical="center"/>
    </xf>
    <xf numFmtId="0" fontId="10" fillId="0" borderId="4" xfId="0" applyFont="1" applyBorder="1"/>
    <xf numFmtId="167" fontId="0" fillId="0" borderId="10" xfId="0" applyNumberFormat="1" applyBorder="1" applyAlignment="1">
      <alignment horizontal="center" vertical="center"/>
    </xf>
    <xf numFmtId="0" fontId="10" fillId="0" borderId="5" xfId="0" applyFont="1" applyBorder="1"/>
    <xf numFmtId="1" fontId="0" fillId="0" borderId="9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wrapText="1"/>
    </xf>
    <xf numFmtId="165" fontId="11" fillId="3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3" borderId="1" xfId="0" applyFont="1" applyFill="1" applyBorder="1"/>
    <xf numFmtId="0" fontId="0" fillId="0" borderId="0" xfId="0" applyFill="1" applyBorder="1"/>
    <xf numFmtId="0" fontId="1" fillId="2" borderId="1" xfId="0" applyFont="1" applyFill="1" applyBorder="1" applyAlignment="1" applyProtection="1">
      <alignment horizontal="center" vertical="center"/>
      <protection locked="0"/>
    </xf>
    <xf numFmtId="165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3" fontId="1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es(T)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20574409448818898"/>
                  <c:y val="-3.282407407407407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'Table A3'!$B$5:$B$14</c:f>
              <c:numCache>
                <c:formatCode>General</c:formatCode>
                <c:ptCount val="10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</c:numCache>
            </c:numRef>
          </c:xVal>
          <c:yVal>
            <c:numRef>
              <c:f>'Table A3'!$C$5:$C$14</c:f>
              <c:numCache>
                <c:formatCode>General</c:formatCode>
                <c:ptCount val="10"/>
                <c:pt idx="0">
                  <c:v>0.61099999999999999</c:v>
                </c:pt>
                <c:pt idx="1">
                  <c:v>0.872</c:v>
                </c:pt>
                <c:pt idx="2">
                  <c:v>1.2270000000000001</c:v>
                </c:pt>
                <c:pt idx="3">
                  <c:v>1.704</c:v>
                </c:pt>
                <c:pt idx="4">
                  <c:v>2.3359999999999999</c:v>
                </c:pt>
                <c:pt idx="5">
                  <c:v>3.1659999999999999</c:v>
                </c:pt>
                <c:pt idx="6">
                  <c:v>4.242</c:v>
                </c:pt>
                <c:pt idx="7">
                  <c:v>5.6239999999999997</c:v>
                </c:pt>
                <c:pt idx="8">
                  <c:v>7.3819999999999997</c:v>
                </c:pt>
                <c:pt idx="9">
                  <c:v>9.5969999999999995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9C-C641-8E0D-4DE17E457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8800927"/>
        <c:axId val="820226095"/>
      </c:scatterChart>
      <c:valAx>
        <c:axId val="7488009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0226095"/>
        <c:crosses val="autoZero"/>
        <c:crossBetween val="midCat"/>
      </c:valAx>
      <c:valAx>
        <c:axId val="820226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88009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slope of vapor pressure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20574409448818898"/>
                  <c:y val="-3.282407407407407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'Table A3'!$B$5:$B$14</c:f>
              <c:numCache>
                <c:formatCode>General</c:formatCode>
                <c:ptCount val="10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</c:numCache>
            </c:numRef>
          </c:xVal>
          <c:yVal>
            <c:numRef>
              <c:f>'Table A3'!$D$5:$D$14</c:f>
              <c:numCache>
                <c:formatCode>General</c:formatCode>
                <c:ptCount val="10"/>
                <c:pt idx="0">
                  <c:v>44</c:v>
                </c:pt>
                <c:pt idx="1">
                  <c:v>61</c:v>
                </c:pt>
                <c:pt idx="2">
                  <c:v>82</c:v>
                </c:pt>
                <c:pt idx="3">
                  <c:v>110</c:v>
                </c:pt>
                <c:pt idx="4">
                  <c:v>145</c:v>
                </c:pt>
                <c:pt idx="5">
                  <c:v>189</c:v>
                </c:pt>
                <c:pt idx="6">
                  <c:v>244</c:v>
                </c:pt>
                <c:pt idx="7">
                  <c:v>311</c:v>
                </c:pt>
                <c:pt idx="8">
                  <c:v>394</c:v>
                </c:pt>
                <c:pt idx="9">
                  <c:v>495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E4-1644-A03E-C0C394A88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8800927"/>
        <c:axId val="820226095"/>
      </c:scatterChart>
      <c:valAx>
        <c:axId val="7488009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0226095"/>
        <c:crosses val="autoZero"/>
        <c:crossBetween val="midCat"/>
      </c:valAx>
      <c:valAx>
        <c:axId val="820226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88009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blackbody emittance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0574409448818898"/>
                  <c:y val="-3.282407407407407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'Table A3'!$B$5:$B$14</c:f>
              <c:numCache>
                <c:formatCode>General</c:formatCode>
                <c:ptCount val="10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</c:numCache>
            </c:numRef>
          </c:xVal>
          <c:yVal>
            <c:numRef>
              <c:f>'Table A3'!$E$5:$E$14</c:f>
              <c:numCache>
                <c:formatCode>General</c:formatCode>
                <c:ptCount val="10"/>
                <c:pt idx="0">
                  <c:v>316</c:v>
                </c:pt>
                <c:pt idx="1">
                  <c:v>339</c:v>
                </c:pt>
                <c:pt idx="2">
                  <c:v>365</c:v>
                </c:pt>
                <c:pt idx="3">
                  <c:v>391</c:v>
                </c:pt>
                <c:pt idx="4">
                  <c:v>419</c:v>
                </c:pt>
                <c:pt idx="5">
                  <c:v>448</c:v>
                </c:pt>
                <c:pt idx="6">
                  <c:v>479</c:v>
                </c:pt>
                <c:pt idx="7">
                  <c:v>511</c:v>
                </c:pt>
                <c:pt idx="8">
                  <c:v>545</c:v>
                </c:pt>
                <c:pt idx="9">
                  <c:v>581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3FD-9C4B-AB12-B19A3988F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8800927"/>
        <c:axId val="820226095"/>
      </c:scatterChart>
      <c:valAx>
        <c:axId val="7488009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0226095"/>
        <c:crosses val="autoZero"/>
        <c:crossBetween val="midCat"/>
      </c:valAx>
      <c:valAx>
        <c:axId val="820226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88009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radiative conductance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0574409448818898"/>
                  <c:y val="-3.282407407407407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'Table A3'!$B$5:$B$14</c:f>
              <c:numCache>
                <c:formatCode>General</c:formatCode>
                <c:ptCount val="10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</c:numCache>
            </c:numRef>
          </c:xVal>
          <c:yVal>
            <c:numRef>
              <c:f>'Table A3'!$F$5:$F$14</c:f>
              <c:numCache>
                <c:formatCode>General</c:formatCode>
                <c:ptCount val="10"/>
                <c:pt idx="0">
                  <c:v>0.158</c:v>
                </c:pt>
                <c:pt idx="1">
                  <c:v>0.16700000000000001</c:v>
                </c:pt>
                <c:pt idx="2">
                  <c:v>0.17599999999999999</c:v>
                </c:pt>
                <c:pt idx="3">
                  <c:v>0.185</c:v>
                </c:pt>
                <c:pt idx="4">
                  <c:v>0.19500000000000001</c:v>
                </c:pt>
                <c:pt idx="5">
                  <c:v>0.20499999999999999</c:v>
                </c:pt>
                <c:pt idx="6">
                  <c:v>0.216</c:v>
                </c:pt>
                <c:pt idx="7">
                  <c:v>0.22700000000000001</c:v>
                </c:pt>
                <c:pt idx="8">
                  <c:v>0.23799999999999999</c:v>
                </c:pt>
                <c:pt idx="9">
                  <c:v>0.249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102-8F42-AF97-A36E8E4A9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8800927"/>
        <c:axId val="820226095"/>
      </c:scatterChart>
      <c:valAx>
        <c:axId val="7488009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0226095"/>
        <c:crosses val="autoZero"/>
        <c:crossBetween val="midCat"/>
      </c:valAx>
      <c:valAx>
        <c:axId val="820226095"/>
        <c:scaling>
          <c:orientation val="minMax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88009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clear sky emissivity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0574409448818898"/>
                  <c:y val="-3.282407407407407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'Table A3'!$B$5:$B$14</c:f>
              <c:numCache>
                <c:formatCode>General</c:formatCode>
                <c:ptCount val="10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</c:numCache>
            </c:numRef>
          </c:xVal>
          <c:yVal>
            <c:numRef>
              <c:f>'Table A3'!$G$5:$G$14</c:f>
              <c:numCache>
                <c:formatCode>General</c:formatCode>
                <c:ptCount val="10"/>
                <c:pt idx="0">
                  <c:v>0.69</c:v>
                </c:pt>
                <c:pt idx="1">
                  <c:v>0.71</c:v>
                </c:pt>
                <c:pt idx="2">
                  <c:v>0.74</c:v>
                </c:pt>
                <c:pt idx="3">
                  <c:v>0.76</c:v>
                </c:pt>
                <c:pt idx="4">
                  <c:v>0.79</c:v>
                </c:pt>
                <c:pt idx="5">
                  <c:v>0.82</c:v>
                </c:pt>
                <c:pt idx="6">
                  <c:v>0.85</c:v>
                </c:pt>
                <c:pt idx="7">
                  <c:v>0.87</c:v>
                </c:pt>
                <c:pt idx="8">
                  <c:v>0.9</c:v>
                </c:pt>
                <c:pt idx="9">
                  <c:v>0.93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C72-034D-908F-9B3B6DB75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8800927"/>
        <c:axId val="820226095"/>
      </c:scatterChart>
      <c:valAx>
        <c:axId val="7488009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0226095"/>
        <c:crosses val="autoZero"/>
        <c:crossBetween val="midCat"/>
      </c:valAx>
      <c:valAx>
        <c:axId val="820226095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88009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249560</xdr:colOff>
      <xdr:row>2</xdr:row>
      <xdr:rowOff>524519</xdr:rowOff>
    </xdr:from>
    <xdr:to>
      <xdr:col>12</xdr:col>
      <xdr:colOff>691839</xdr:colOff>
      <xdr:row>15</xdr:row>
      <xdr:rowOff>168209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C30E7AD-E4B3-934C-B9C5-9820ADDC28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5</xdr:col>
      <xdr:colOff>797524</xdr:colOff>
      <xdr:row>30</xdr:row>
      <xdr:rowOff>87746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05127B-94A5-8047-8C40-7E9169E0D8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17</xdr:row>
      <xdr:rowOff>0</xdr:rowOff>
    </xdr:from>
    <xdr:to>
      <xdr:col>12</xdr:col>
      <xdr:colOff>442279</xdr:colOff>
      <xdr:row>30</xdr:row>
      <xdr:rowOff>87746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86FF4BB-CA0C-E44F-94DE-B89C9ED2F6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5</xdr:col>
      <xdr:colOff>797524</xdr:colOff>
      <xdr:row>45</xdr:row>
      <xdr:rowOff>87746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471DC69-4098-AF45-8B83-FA15B62E0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32</xdr:row>
      <xdr:rowOff>0</xdr:rowOff>
    </xdr:from>
    <xdr:to>
      <xdr:col>12</xdr:col>
      <xdr:colOff>442279</xdr:colOff>
      <xdr:row>45</xdr:row>
      <xdr:rowOff>87746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6443767-CF1B-ED49-905F-EEB194669A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53BDA-61A1-724C-8178-74EF69B789BF}">
  <dimension ref="B2:F25"/>
  <sheetViews>
    <sheetView tabSelected="1" zoomScale="148" zoomScaleNormal="148" workbookViewId="0">
      <selection activeCell="C6" sqref="C6"/>
    </sheetView>
  </sheetViews>
  <sheetFormatPr baseColWidth="10" defaultRowHeight="16"/>
  <cols>
    <col min="1" max="1" width="3.33203125" customWidth="1"/>
    <col min="2" max="2" width="31.6640625" customWidth="1"/>
    <col min="3" max="3" width="8.1640625" customWidth="1"/>
    <col min="4" max="4" width="12.5" customWidth="1"/>
    <col min="5" max="5" width="12.6640625" customWidth="1"/>
    <col min="6" max="6" width="5.33203125" customWidth="1"/>
    <col min="7" max="7" width="7.5" customWidth="1"/>
    <col min="8" max="8" width="29.6640625" customWidth="1"/>
  </cols>
  <sheetData>
    <row r="2" spans="2:6">
      <c r="B2" s="44" t="s">
        <v>90</v>
      </c>
      <c r="F2" s="13"/>
    </row>
    <row r="3" spans="2:6">
      <c r="B3" s="45" t="s">
        <v>91</v>
      </c>
      <c r="D3" s="12"/>
      <c r="E3" s="13"/>
      <c r="F3" s="13"/>
    </row>
    <row r="4" spans="2:6" ht="18" customHeight="1">
      <c r="C4" s="11" t="s">
        <v>18</v>
      </c>
      <c r="D4" s="12" t="s">
        <v>25</v>
      </c>
      <c r="E4" s="13" t="s">
        <v>34</v>
      </c>
      <c r="F4" s="13"/>
    </row>
    <row r="5" spans="2:6">
      <c r="B5" s="7" t="s">
        <v>20</v>
      </c>
      <c r="D5" s="8"/>
      <c r="E5" s="13"/>
      <c r="F5" s="13"/>
    </row>
    <row r="6" spans="2:6">
      <c r="B6" t="s">
        <v>42</v>
      </c>
      <c r="C6" s="47">
        <v>30</v>
      </c>
      <c r="D6" s="10" t="s">
        <v>26</v>
      </c>
      <c r="E6" s="13" t="s">
        <v>35</v>
      </c>
      <c r="F6" s="13"/>
    </row>
    <row r="7" spans="2:6">
      <c r="B7" t="s">
        <v>41</v>
      </c>
      <c r="C7" s="47">
        <v>85</v>
      </c>
      <c r="D7" s="10" t="s">
        <v>29</v>
      </c>
      <c r="E7" s="13" t="s">
        <v>40</v>
      </c>
      <c r="F7" s="13"/>
    </row>
    <row r="8" spans="2:6">
      <c r="B8" t="s">
        <v>19</v>
      </c>
      <c r="C8" s="48">
        <v>5</v>
      </c>
      <c r="D8" s="10" t="s">
        <v>27</v>
      </c>
      <c r="E8" s="13" t="s">
        <v>36</v>
      </c>
      <c r="F8" s="13"/>
    </row>
    <row r="9" spans="2:6">
      <c r="B9" t="s">
        <v>92</v>
      </c>
      <c r="C9" s="49">
        <v>0.3</v>
      </c>
      <c r="D9" s="10" t="s">
        <v>17</v>
      </c>
      <c r="E9" s="13" t="s">
        <v>37</v>
      </c>
      <c r="F9" s="13"/>
    </row>
    <row r="10" spans="2:6">
      <c r="B10" t="s">
        <v>93</v>
      </c>
      <c r="C10" s="49">
        <v>0.3</v>
      </c>
      <c r="D10" s="10" t="s">
        <v>17</v>
      </c>
      <c r="E10" s="13" t="s">
        <v>37</v>
      </c>
      <c r="F10" s="13"/>
    </row>
    <row r="11" spans="2:6">
      <c r="C11" s="50"/>
      <c r="D11" s="10"/>
      <c r="E11" s="13"/>
      <c r="F11" s="13"/>
    </row>
    <row r="12" spans="2:6" ht="17">
      <c r="B12" s="9" t="s">
        <v>21</v>
      </c>
      <c r="C12" s="50"/>
      <c r="D12" s="10"/>
      <c r="E12" s="13"/>
      <c r="F12" s="13"/>
    </row>
    <row r="13" spans="2:6">
      <c r="B13" t="s">
        <v>22</v>
      </c>
      <c r="C13" s="51">
        <v>35</v>
      </c>
      <c r="D13" s="10" t="s">
        <v>28</v>
      </c>
      <c r="E13" s="13" t="s">
        <v>74</v>
      </c>
      <c r="F13" s="13"/>
    </row>
    <row r="14" spans="2:6">
      <c r="B14" t="s">
        <v>23</v>
      </c>
      <c r="C14" s="51">
        <v>20</v>
      </c>
      <c r="D14" s="10" t="s">
        <v>29</v>
      </c>
      <c r="E14" s="13" t="s">
        <v>38</v>
      </c>
      <c r="F14" s="13"/>
    </row>
    <row r="15" spans="2:6">
      <c r="B15" t="s">
        <v>24</v>
      </c>
      <c r="C15" s="48">
        <v>1.5</v>
      </c>
      <c r="D15" s="10" t="s">
        <v>30</v>
      </c>
      <c r="E15" s="13" t="s">
        <v>39</v>
      </c>
      <c r="F15" s="13"/>
    </row>
    <row r="16" spans="2:6">
      <c r="B16" t="s">
        <v>43</v>
      </c>
      <c r="C16" s="52">
        <v>1700</v>
      </c>
      <c r="D16" s="10" t="s">
        <v>51</v>
      </c>
      <c r="E16" s="13" t="s">
        <v>52</v>
      </c>
      <c r="F16" s="13"/>
    </row>
    <row r="17" spans="2:6">
      <c r="B17" t="s">
        <v>31</v>
      </c>
      <c r="C17" s="10"/>
      <c r="E17" s="13"/>
      <c r="F17" s="13"/>
    </row>
    <row r="18" spans="2:6">
      <c r="C18" s="10"/>
    </row>
    <row r="19" spans="2:6">
      <c r="B19" s="39" t="s">
        <v>79</v>
      </c>
      <c r="D19" s="40"/>
    </row>
    <row r="20" spans="2:6" ht="19">
      <c r="B20" s="40" t="s">
        <v>95</v>
      </c>
      <c r="C20" s="42">
        <f>'Leaf energy budget calculations'!A24</f>
        <v>36.005774924125525</v>
      </c>
      <c r="D20" s="10" t="s">
        <v>28</v>
      </c>
    </row>
    <row r="21" spans="2:6" ht="18" customHeight="1">
      <c r="B21" s="41" t="s">
        <v>96</v>
      </c>
      <c r="C21" s="43">
        <f>'Leaf energy budget calculations'!A25</f>
        <v>12.020504707082287</v>
      </c>
      <c r="D21" s="10" t="s">
        <v>94</v>
      </c>
    </row>
    <row r="22" spans="2:6" ht="19">
      <c r="B22" s="46" t="s">
        <v>97</v>
      </c>
      <c r="C22" s="43">
        <f>'Leaf energy budget calculations'!A21</f>
        <v>0.2453643885604945</v>
      </c>
      <c r="D22" s="10" t="s">
        <v>17</v>
      </c>
    </row>
    <row r="24" spans="2:6">
      <c r="B24" t="s">
        <v>32</v>
      </c>
    </row>
    <row r="25" spans="2:6">
      <c r="B25" t="s">
        <v>33</v>
      </c>
    </row>
  </sheetData>
  <sheetProtection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9F474-6F72-B54D-8B24-74AAA0A5C26C}">
  <dimension ref="A1:E25"/>
  <sheetViews>
    <sheetView zoomScale="168" zoomScaleNormal="168" workbookViewId="0">
      <selection activeCell="A8" sqref="A8"/>
    </sheetView>
  </sheetViews>
  <sheetFormatPr baseColWidth="10" defaultRowHeight="16"/>
  <cols>
    <col min="1" max="1" width="13.83203125" customWidth="1"/>
    <col min="2" max="2" width="49.33203125" customWidth="1"/>
    <col min="3" max="3" width="4.33203125" customWidth="1"/>
    <col min="4" max="4" width="14.33203125" customWidth="1"/>
    <col min="5" max="5" width="53.33203125" customWidth="1"/>
  </cols>
  <sheetData>
    <row r="1" spans="1:5" ht="10" customHeight="1" thickBot="1"/>
    <row r="2" spans="1:5">
      <c r="A2" s="21" t="s">
        <v>89</v>
      </c>
      <c r="D2" s="22" t="s">
        <v>85</v>
      </c>
      <c r="E2" s="14"/>
    </row>
    <row r="3" spans="1:5" ht="17" thickBot="1">
      <c r="D3" s="31">
        <v>5.6697000000000001E-8</v>
      </c>
      <c r="E3" s="15" t="s">
        <v>45</v>
      </c>
    </row>
    <row r="4" spans="1:5">
      <c r="A4" s="22" t="s">
        <v>80</v>
      </c>
      <c r="B4" s="14"/>
      <c r="D4" s="32">
        <f>0.0054*'Student inputs'!C13+0.6849</f>
        <v>0.8738999999999999</v>
      </c>
      <c r="E4" s="15" t="s">
        <v>47</v>
      </c>
    </row>
    <row r="5" spans="1:5">
      <c r="A5" s="23">
        <f>D4*D3*(273+D14)^4</f>
        <v>445.88687122374148</v>
      </c>
      <c r="B5" s="15" t="s">
        <v>46</v>
      </c>
      <c r="D5" s="32">
        <v>0.98</v>
      </c>
      <c r="E5" s="15" t="s">
        <v>48</v>
      </c>
    </row>
    <row r="6" spans="1:5">
      <c r="A6" s="23">
        <f>D5*D3*(273+D14)^4</f>
        <v>500.02189472395776</v>
      </c>
      <c r="B6" s="15" t="s">
        <v>44</v>
      </c>
      <c r="D6" s="32">
        <v>44</v>
      </c>
      <c r="E6" s="15" t="s">
        <v>65</v>
      </c>
    </row>
    <row r="7" spans="1:5">
      <c r="A7" s="24">
        <f>('Student inputs'!C7/100)*COS(RADIANS('Student inputs'!C6))*'Student inputs'!C16</f>
        <v>1251.4067084685139</v>
      </c>
      <c r="B7" s="15" t="s">
        <v>61</v>
      </c>
      <c r="D7" s="32">
        <v>29.3</v>
      </c>
      <c r="E7" s="15" t="s">
        <v>66</v>
      </c>
    </row>
    <row r="8" spans="1:5">
      <c r="A8" s="23">
        <f>1367*A7/2830</f>
        <v>604.47808144044473</v>
      </c>
      <c r="B8" s="15" t="s">
        <v>60</v>
      </c>
      <c r="D8" s="32">
        <v>101.3</v>
      </c>
      <c r="E8" s="15" t="s">
        <v>67</v>
      </c>
    </row>
    <row r="9" spans="1:5">
      <c r="A9" s="25">
        <f>A8+0.5*(A5+A6)</f>
        <v>1077.4324644142944</v>
      </c>
      <c r="B9" s="15" t="s">
        <v>71</v>
      </c>
      <c r="D9" s="33">
        <f>0.001*'Table A3'!D16/D8</f>
        <v>3.1408933859822315E-3</v>
      </c>
      <c r="E9" s="15" t="s">
        <v>62</v>
      </c>
    </row>
    <row r="10" spans="1:5">
      <c r="A10" s="26">
        <f>D11/(D11+D9)</f>
        <v>0.55616468177376621</v>
      </c>
      <c r="B10" s="15" t="s">
        <v>70</v>
      </c>
      <c r="D10" s="33">
        <v>6.6E-4</v>
      </c>
      <c r="E10" s="34" t="s">
        <v>64</v>
      </c>
    </row>
    <row r="11" spans="1:5" ht="17" thickBot="1">
      <c r="A11" s="26">
        <f>(A9-A6)/(D24*D7)</f>
        <v>13.468361693181594</v>
      </c>
      <c r="B11" s="15" t="s">
        <v>72</v>
      </c>
      <c r="D11" s="35">
        <f>D10*D24/A21</f>
        <v>3.9358156026909966E-3</v>
      </c>
      <c r="E11" s="36" t="s">
        <v>63</v>
      </c>
    </row>
    <row r="12" spans="1:5" ht="17" thickBot="1">
      <c r="A12" s="27">
        <f>A15/(D8*D11)</f>
        <v>11.659949621926325</v>
      </c>
      <c r="B12" s="28" t="s">
        <v>73</v>
      </c>
    </row>
    <row r="13" spans="1:5" ht="17" thickBot="1">
      <c r="D13" s="22" t="s">
        <v>50</v>
      </c>
      <c r="E13" s="14"/>
    </row>
    <row r="14" spans="1:5">
      <c r="A14" s="22" t="s">
        <v>81</v>
      </c>
      <c r="B14" s="14"/>
      <c r="D14" s="37">
        <f>'Student inputs'!C13</f>
        <v>35</v>
      </c>
      <c r="E14" s="15" t="s">
        <v>57</v>
      </c>
    </row>
    <row r="15" spans="1:5">
      <c r="A15" s="29">
        <f>(1-D19/100)*'Table A3'!C16</f>
        <v>4.6488000000000005</v>
      </c>
      <c r="B15" s="15" t="s">
        <v>53</v>
      </c>
      <c r="D15" s="32">
        <f>'Student inputs'!C15</f>
        <v>1.5</v>
      </c>
      <c r="E15" s="15" t="s">
        <v>58</v>
      </c>
    </row>
    <row r="16" spans="1:5">
      <c r="A16" s="29">
        <f>(0.0047*D14^2-0.0216*D14+0.8095)*D19/100</f>
        <v>1.1621999999999999</v>
      </c>
      <c r="B16" s="15" t="s">
        <v>54</v>
      </c>
      <c r="D16" s="32">
        <f>0.7*0.01*'Student inputs'!C8</f>
        <v>3.4999999999999996E-2</v>
      </c>
      <c r="E16" s="15" t="s">
        <v>86</v>
      </c>
    </row>
    <row r="17" spans="1:5">
      <c r="A17" s="23">
        <f>0.0047*A24^2-0.0216*A24+0.8095</f>
        <v>6.1249296527067854</v>
      </c>
      <c r="B17" s="15" t="s">
        <v>55</v>
      </c>
      <c r="D17" s="26">
        <f>'Student inputs'!C9</f>
        <v>0.3</v>
      </c>
      <c r="E17" s="15" t="s">
        <v>75</v>
      </c>
    </row>
    <row r="18" spans="1:5" ht="17" thickBot="1">
      <c r="A18" s="30">
        <f>A17-A16</f>
        <v>4.9627296527067859</v>
      </c>
      <c r="B18" s="28" t="s">
        <v>56</v>
      </c>
      <c r="D18" s="26">
        <f>'Student inputs'!C10</f>
        <v>0.3</v>
      </c>
      <c r="E18" s="15" t="s">
        <v>76</v>
      </c>
    </row>
    <row r="19" spans="1:5" ht="17" thickBot="1">
      <c r="D19" s="38">
        <f>'Student inputs'!C14</f>
        <v>20</v>
      </c>
      <c r="E19" s="28" t="s">
        <v>23</v>
      </c>
    </row>
    <row r="20" spans="1:5" ht="17" thickBot="1">
      <c r="A20" s="22" t="s">
        <v>87</v>
      </c>
      <c r="B20" s="14"/>
    </row>
    <row r="21" spans="1:5" ht="17" thickBot="1">
      <c r="A21" s="27">
        <f>0.5*(D17*D25)/(D17+D25)+0.5*(D18*D25)/(D18+D25)</f>
        <v>0.2453643885604945</v>
      </c>
      <c r="B21" s="28" t="s">
        <v>78</v>
      </c>
      <c r="D21" s="22" t="s">
        <v>59</v>
      </c>
      <c r="E21" s="14"/>
    </row>
    <row r="22" spans="1:5" ht="17" thickBot="1">
      <c r="D22" s="26">
        <f>1.4*0.135*SQRT(D15/D16)</f>
        <v>1.2372954376380767</v>
      </c>
      <c r="E22" s="15" t="s">
        <v>68</v>
      </c>
    </row>
    <row r="23" spans="1:5">
      <c r="A23" s="22" t="s">
        <v>82</v>
      </c>
      <c r="B23" s="14"/>
      <c r="D23" s="26">
        <f>'Table A3'!F16</f>
        <v>0.22590000000000002</v>
      </c>
      <c r="E23" s="15" t="s">
        <v>88</v>
      </c>
    </row>
    <row r="24" spans="1:5">
      <c r="A24" s="23">
        <f>D14+A10*(A11-A12)</f>
        <v>36.005774924125525</v>
      </c>
      <c r="B24" s="15" t="s">
        <v>83</v>
      </c>
      <c r="D24" s="26">
        <f>D22+'Table A3'!F16</f>
        <v>1.4631954376380767</v>
      </c>
      <c r="E24" s="15" t="s">
        <v>77</v>
      </c>
    </row>
    <row r="25" spans="1:5" ht="17" thickBot="1">
      <c r="A25" s="30">
        <f>1000*A18*A21/D8</f>
        <v>12.020504707082287</v>
      </c>
      <c r="B25" s="28" t="s">
        <v>84</v>
      </c>
      <c r="D25" s="27">
        <f>1.4*0.147*SQRT(D15/D16)</f>
        <v>1.3472772543170168</v>
      </c>
      <c r="E25" s="28" t="s">
        <v>69</v>
      </c>
    </row>
  </sheetData>
  <sheetProtection algorithmName="SHA-512" hashValue="hKLAzKly5qpaOM6WGbL7UZyvN342IraIo+Ny2kLLspzUDl1gA0PRH7xN81f4KbRElDDe0HEIx4DJYyIKTcEjng==" saltValue="4VN61UbkD6U1Wj0xYWuNwQ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A5D29-6C55-D24B-87AE-CE821D5907BD}">
  <dimension ref="A1:I16"/>
  <sheetViews>
    <sheetView topLeftCell="A2" zoomScale="143" zoomScaleNormal="143" workbookViewId="0">
      <selection activeCell="C16" sqref="C16"/>
    </sheetView>
  </sheetViews>
  <sheetFormatPr baseColWidth="10" defaultRowHeight="16"/>
  <cols>
    <col min="1" max="2" width="11.83203125" style="1" customWidth="1"/>
    <col min="3" max="3" width="13.5" style="1" customWidth="1"/>
    <col min="4" max="4" width="12.83203125" style="1" customWidth="1"/>
    <col min="5" max="5" width="11.33203125" style="1" customWidth="1"/>
    <col min="6" max="6" width="11.83203125" style="1" customWidth="1"/>
    <col min="7" max="7" width="11.33203125" style="1" customWidth="1"/>
  </cols>
  <sheetData>
    <row r="1" spans="1:9">
      <c r="A1" s="4" t="s">
        <v>6</v>
      </c>
    </row>
    <row r="2" spans="1:9" ht="24">
      <c r="C2" s="5" t="s">
        <v>10</v>
      </c>
      <c r="D2" s="6" t="s">
        <v>11</v>
      </c>
      <c r="E2" s="5" t="s">
        <v>12</v>
      </c>
      <c r="F2" s="5" t="s">
        <v>13</v>
      </c>
      <c r="G2" s="6" t="s">
        <v>15</v>
      </c>
    </row>
    <row r="3" spans="1:9" ht="51">
      <c r="A3" s="2" t="s">
        <v>0</v>
      </c>
      <c r="B3" s="2" t="s">
        <v>0</v>
      </c>
      <c r="C3" s="2" t="s">
        <v>3</v>
      </c>
      <c r="D3" s="2" t="s">
        <v>5</v>
      </c>
      <c r="E3" s="2" t="s">
        <v>8</v>
      </c>
      <c r="F3" s="2" t="s">
        <v>9</v>
      </c>
      <c r="G3" s="2" t="s">
        <v>14</v>
      </c>
      <c r="H3" s="3"/>
      <c r="I3" s="3"/>
    </row>
    <row r="4" spans="1:9">
      <c r="A4" s="1" t="s">
        <v>1</v>
      </c>
      <c r="B4" s="1" t="s">
        <v>2</v>
      </c>
      <c r="C4" s="1" t="s">
        <v>4</v>
      </c>
      <c r="D4" s="1" t="s">
        <v>7</v>
      </c>
      <c r="E4" s="1" t="s">
        <v>16</v>
      </c>
      <c r="F4" s="1" t="s">
        <v>17</v>
      </c>
    </row>
    <row r="5" spans="1:9">
      <c r="B5" s="1">
        <v>0</v>
      </c>
      <c r="C5" s="1">
        <v>0.61099999999999999</v>
      </c>
      <c r="D5" s="1">
        <v>44</v>
      </c>
      <c r="E5" s="1">
        <v>316</v>
      </c>
      <c r="F5" s="1">
        <v>0.158</v>
      </c>
      <c r="G5" s="1">
        <v>0.69</v>
      </c>
    </row>
    <row r="6" spans="1:9">
      <c r="B6" s="1">
        <v>5</v>
      </c>
      <c r="C6" s="1">
        <v>0.872</v>
      </c>
      <c r="D6" s="1">
        <v>61</v>
      </c>
      <c r="E6" s="1">
        <v>339</v>
      </c>
      <c r="F6" s="1">
        <v>0.16700000000000001</v>
      </c>
      <c r="G6" s="1">
        <v>0.71</v>
      </c>
    </row>
    <row r="7" spans="1:9">
      <c r="B7" s="1">
        <v>10</v>
      </c>
      <c r="C7" s="1">
        <v>1.2270000000000001</v>
      </c>
      <c r="D7" s="1">
        <v>82</v>
      </c>
      <c r="E7" s="1">
        <v>365</v>
      </c>
      <c r="F7" s="1">
        <v>0.17599999999999999</v>
      </c>
      <c r="G7" s="1">
        <v>0.74</v>
      </c>
    </row>
    <row r="8" spans="1:9">
      <c r="B8" s="1">
        <v>15</v>
      </c>
      <c r="C8" s="1">
        <v>1.704</v>
      </c>
      <c r="D8" s="1">
        <v>110</v>
      </c>
      <c r="E8" s="1">
        <v>391</v>
      </c>
      <c r="F8" s="1">
        <v>0.185</v>
      </c>
      <c r="G8" s="1">
        <v>0.76</v>
      </c>
    </row>
    <row r="9" spans="1:9">
      <c r="B9" s="1">
        <v>20</v>
      </c>
      <c r="C9" s="1">
        <v>2.3359999999999999</v>
      </c>
      <c r="D9" s="1">
        <v>145</v>
      </c>
      <c r="E9" s="1">
        <v>419</v>
      </c>
      <c r="F9" s="1">
        <v>0.19500000000000001</v>
      </c>
      <c r="G9" s="1">
        <v>0.79</v>
      </c>
    </row>
    <row r="10" spans="1:9">
      <c r="B10" s="1">
        <v>25</v>
      </c>
      <c r="C10" s="1">
        <v>3.1659999999999999</v>
      </c>
      <c r="D10" s="1">
        <v>189</v>
      </c>
      <c r="E10" s="1">
        <v>448</v>
      </c>
      <c r="F10" s="1">
        <v>0.20499999999999999</v>
      </c>
      <c r="G10" s="1">
        <v>0.82</v>
      </c>
    </row>
    <row r="11" spans="1:9">
      <c r="B11" s="1">
        <v>30</v>
      </c>
      <c r="C11" s="1">
        <v>4.242</v>
      </c>
      <c r="D11" s="1">
        <v>244</v>
      </c>
      <c r="E11" s="1">
        <v>479</v>
      </c>
      <c r="F11" s="1">
        <v>0.216</v>
      </c>
      <c r="G11" s="1">
        <v>0.85</v>
      </c>
    </row>
    <row r="12" spans="1:9">
      <c r="B12" s="1">
        <v>35</v>
      </c>
      <c r="C12" s="1">
        <v>5.6239999999999997</v>
      </c>
      <c r="D12" s="1">
        <v>311</v>
      </c>
      <c r="E12" s="1">
        <v>511</v>
      </c>
      <c r="F12" s="1">
        <v>0.22700000000000001</v>
      </c>
      <c r="G12" s="1">
        <v>0.87</v>
      </c>
    </row>
    <row r="13" spans="1:9">
      <c r="B13" s="1">
        <v>40</v>
      </c>
      <c r="C13" s="1">
        <v>7.3819999999999997</v>
      </c>
      <c r="D13" s="1">
        <v>394</v>
      </c>
      <c r="E13" s="1">
        <v>545</v>
      </c>
      <c r="F13" s="1">
        <v>0.23799999999999999</v>
      </c>
      <c r="G13" s="1">
        <v>0.9</v>
      </c>
    </row>
    <row r="14" spans="1:9">
      <c r="B14" s="1">
        <v>45</v>
      </c>
      <c r="C14" s="1">
        <v>9.5969999999999995</v>
      </c>
      <c r="D14" s="1">
        <v>495</v>
      </c>
      <c r="E14" s="1">
        <v>581</v>
      </c>
      <c r="F14" s="1">
        <v>0.249</v>
      </c>
      <c r="G14" s="1">
        <v>0.93</v>
      </c>
    </row>
    <row r="16" spans="1:9">
      <c r="B16" s="16" t="s">
        <v>49</v>
      </c>
      <c r="C16" s="17">
        <f>0.0047*'Student inputs'!C13^2-0.0216*'Student inputs'!C13+0.8095</f>
        <v>5.8109999999999999</v>
      </c>
      <c r="D16" s="18">
        <f>0.205*'Student inputs'!C13^2+0.4489*'Student inputs'!C13+51.336</f>
        <v>318.17250000000001</v>
      </c>
      <c r="E16" s="17">
        <f>5.8788*'Student inputs'!C13+307.13</f>
        <v>512.88800000000003</v>
      </c>
      <c r="F16" s="19">
        <f>0.002*'Student inputs'!C13+0.1559</f>
        <v>0.22590000000000002</v>
      </c>
      <c r="G16" s="20">
        <f>0.0054*'Student inputs'!C13+0.6849</f>
        <v>0.8738999999999999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Student inputs</vt:lpstr>
      <vt:lpstr>Leaf energy budget calculations</vt:lpstr>
      <vt:lpstr>Table 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James Ehleringer</cp:lastModifiedBy>
  <dcterms:created xsi:type="dcterms:W3CDTF">2020-06-13T04:48:28Z</dcterms:created>
  <dcterms:modified xsi:type="dcterms:W3CDTF">2020-06-13T19:04:33Z</dcterms:modified>
</cp:coreProperties>
</file>