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mlaptop/Ehleringer Dropbox/Jim Ehleringer/5.0 Teaching related ƒ/5.1 BIOL 5460 Plant Ecology ƒ/7.0 Models for students ƒ/2 Leaf temperature model ƒ/"/>
    </mc:Choice>
  </mc:AlternateContent>
  <xr:revisionPtr revIDLastSave="0" documentId="13_ncr:1_{8C4D4DD6-66E1-BA42-B641-B6F5B6744405}" xr6:coauthVersionLast="47" xr6:coauthVersionMax="47" xr10:uidLastSave="{00000000-0000-0000-0000-000000000000}"/>
  <bookViews>
    <workbookView xWindow="2100" yWindow="500" windowWidth="17820" windowHeight="22280" xr2:uid="{93F7AAF3-B278-CD41-9106-816342C5F6C9}"/>
  </bookViews>
  <sheets>
    <sheet name="Student inputs" sheetId="2" r:id="rId1"/>
    <sheet name="Leaf energy budget calculations" sheetId="3" r:id="rId2"/>
    <sheet name="Table A3" sheetId="1" r:id="rId3"/>
    <sheet name="not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2" l="1"/>
  <c r="D4" i="3"/>
  <c r="D14" i="3"/>
  <c r="A8" i="3" s="1"/>
  <c r="A9" i="3"/>
  <c r="D17" i="3"/>
  <c r="D15" i="3"/>
  <c r="D16" i="3"/>
  <c r="D18" i="3"/>
  <c r="F16" i="1"/>
  <c r="D23" i="3" s="1"/>
  <c r="D16" i="1"/>
  <c r="D9" i="3" s="1"/>
  <c r="D19" i="3"/>
  <c r="C16" i="1"/>
  <c r="G16" i="1"/>
  <c r="E16" i="1"/>
  <c r="D22" i="3" l="1"/>
  <c r="D24" i="3" s="1"/>
  <c r="A21" i="3"/>
  <c r="D25" i="3"/>
  <c r="D28" i="3" s="1"/>
  <c r="C22" i="2" s="1"/>
  <c r="A7" i="3"/>
  <c r="A22" i="3"/>
  <c r="C26" i="2" s="1"/>
  <c r="A10" i="3"/>
  <c r="A11" i="3"/>
  <c r="D11" i="3" l="1"/>
  <c r="A16" i="3" s="1"/>
  <c r="A12" i="3"/>
  <c r="A13" i="3" s="1"/>
  <c r="C28" i="2"/>
  <c r="A17" i="3" l="1"/>
  <c r="C29" i="2"/>
  <c r="A18" i="3"/>
  <c r="A27" i="3" l="1"/>
  <c r="C20" i="2"/>
  <c r="A23" i="3"/>
  <c r="A24" i="3" s="1"/>
  <c r="A28" i="3" l="1"/>
  <c r="C21" i="2" s="1"/>
  <c r="C27" i="2"/>
</calcChain>
</file>

<file path=xl/sharedStrings.xml><?xml version="1.0" encoding="utf-8"?>
<sst xmlns="http://schemas.openxmlformats.org/spreadsheetml/2006/main" count="128" uniqueCount="113">
  <si>
    <t>Temperature</t>
  </si>
  <si>
    <t>K</t>
  </si>
  <si>
    <t>C</t>
  </si>
  <si>
    <t>Saturation vapor pressure</t>
  </si>
  <si>
    <t>kPa</t>
  </si>
  <si>
    <t>Slope of vapor pressure function</t>
  </si>
  <si>
    <t>Table A3. Campbell and Norman, Introduction to Environmental Physics, Second Edition</t>
  </si>
  <si>
    <t>Pa</t>
  </si>
  <si>
    <t>Blackbody emittance</t>
  </si>
  <si>
    <t>radiative conductance</t>
  </si>
  <si>
    <t>es(T)</t>
  </si>
  <si>
    <t>D</t>
  </si>
  <si>
    <t>B</t>
  </si>
  <si>
    <t>gr</t>
  </si>
  <si>
    <t>clear sky emissivity</t>
  </si>
  <si>
    <t>ea</t>
  </si>
  <si>
    <t>W m-2</t>
  </si>
  <si>
    <t>mol m-2 s-1</t>
  </si>
  <si>
    <t>Inputs</t>
  </si>
  <si>
    <t>leaf width</t>
  </si>
  <si>
    <t>air temperature</t>
  </si>
  <si>
    <t>relative humidity</t>
  </si>
  <si>
    <t>wind speed</t>
  </si>
  <si>
    <t>Units</t>
  </si>
  <si>
    <t>degrees</t>
  </si>
  <si>
    <t>cm</t>
  </si>
  <si>
    <t>°C</t>
  </si>
  <si>
    <t>%</t>
  </si>
  <si>
    <t>m s-1</t>
  </si>
  <si>
    <t>Ranges</t>
  </si>
  <si>
    <t>0 - 90</t>
  </si>
  <si>
    <t>0.1 - 20</t>
  </si>
  <si>
    <t>0.01 - 1.50</t>
  </si>
  <si>
    <t>0 - 100</t>
  </si>
  <si>
    <t>0.1 - 10</t>
  </si>
  <si>
    <t>30 - 85</t>
  </si>
  <si>
    <t>leaf absorptance (400-700 nm)</t>
  </si>
  <si>
    <t>leaf angle from horizontal</t>
  </si>
  <si>
    <t>incoming infrared from ground (assume air temperature)</t>
  </si>
  <si>
    <t>Stefan Boltzman constant</t>
  </si>
  <si>
    <t>incoming infrared from sky (assume air temperature)</t>
  </si>
  <si>
    <t>emissivity from sky</t>
  </si>
  <si>
    <t>emissivity from ground</t>
  </si>
  <si>
    <t>student input</t>
  </si>
  <si>
    <t>student inputs</t>
  </si>
  <si>
    <t>µmol m-2 s-1</t>
  </si>
  <si>
    <t>0 - 2,100</t>
  </si>
  <si>
    <t>Ta, air temperature, °C</t>
  </si>
  <si>
    <t>u, wind speed, m s-1</t>
  </si>
  <si>
    <t>boundary layers</t>
  </si>
  <si>
    <t>s, using student input Ta from Table A3, °C-1</t>
  </si>
  <si>
    <r>
      <rPr>
        <sz val="12"/>
        <color theme="1"/>
        <rFont val="Symbol"/>
        <charset val="2"/>
      </rPr>
      <t>g</t>
    </r>
    <r>
      <rPr>
        <sz val="12"/>
        <color theme="1"/>
        <rFont val="Calibri"/>
        <family val="2"/>
        <scheme val="minor"/>
      </rPr>
      <t>*, °C-1</t>
    </r>
  </si>
  <si>
    <r>
      <rPr>
        <sz val="12"/>
        <color theme="1"/>
        <rFont val="Symbol"/>
        <charset val="2"/>
      </rPr>
      <t>g</t>
    </r>
    <r>
      <rPr>
        <sz val="12"/>
        <color theme="1"/>
        <rFont val="Calibri"/>
        <family val="2"/>
        <scheme val="minor"/>
      </rPr>
      <t>, p. 44, °C-1</t>
    </r>
  </si>
  <si>
    <t>lambda, p. 44, 44 kJ mol-1</t>
  </si>
  <si>
    <t>cp, p. 44, 29.3 J mol-1 K-1</t>
  </si>
  <si>
    <t>pa, kPa</t>
  </si>
  <si>
    <t>gHa = 1.4*0.135*sqr (u/d), p. 101, mol m-2 s-1</t>
  </si>
  <si>
    <t>gva = 0.147*sqr (u/d), p. 101, mol m-2 s-1</t>
  </si>
  <si>
    <t>calculated Rabs, W m-2</t>
  </si>
  <si>
    <t>0 - 45</t>
  </si>
  <si>
    <t>gv, leaf conductance top, mol m-2 s-1</t>
  </si>
  <si>
    <t>gv, leaf conductance bottom, mol m-2 s-1</t>
  </si>
  <si>
    <t>gHr = gHa + gr, see calc in Table A3, mol m-2 s-1</t>
  </si>
  <si>
    <t>gv, calculated, mol m-2 s-1</t>
  </si>
  <si>
    <t>Calculated leaf parameters</t>
  </si>
  <si>
    <t>Calculated leaf temperature components for Eqn 14.6 (W m-2)</t>
  </si>
  <si>
    <t>Calculated vapor pressure terms (kPa)</t>
  </si>
  <si>
    <t>Calculated output to students</t>
  </si>
  <si>
    <t xml:space="preserve">leaf temperature, °C </t>
  </si>
  <si>
    <t>transpiration rate, mmol m-2 s-1</t>
  </si>
  <si>
    <t>environmental characteristics</t>
  </si>
  <si>
    <t>d, characteristic dimension calc from leaf width, p. 107, m</t>
  </si>
  <si>
    <t>calculated overall leaf conductance</t>
  </si>
  <si>
    <t>gr, input student air temperature, calc in Table A3, mol m-2 s-1</t>
  </si>
  <si>
    <t>Leaf energy budget calculations (Campbell &amp; Norman, 2nd edition, p.225)</t>
  </si>
  <si>
    <t>Inputs entered in yellow cells</t>
  </si>
  <si>
    <t>Outputs provided in blue cells</t>
  </si>
  <si>
    <t>mmol m-2 s-1</t>
  </si>
  <si>
    <t>temperature</t>
  </si>
  <si>
    <t>transpiration rate</t>
  </si>
  <si>
    <t>overall leaf H2O conductance</t>
  </si>
  <si>
    <t>absorbed solar radiation as PFD, µmol m-2 s-1</t>
  </si>
  <si>
    <t>incident solar radiation as PFD, µmol m-2 s-1</t>
  </si>
  <si>
    <t>incident solar radiation as W m-2</t>
  </si>
  <si>
    <t>absorbed incoming solar radiation as W m-2</t>
  </si>
  <si>
    <t>leaf absorptance (400-3000 nm)</t>
  </si>
  <si>
    <t>incoming PPFD (400-700 nm)</t>
  </si>
  <si>
    <t>Net radiation aborbed (solar + IR)</t>
  </si>
  <si>
    <t>This program converts 400-700 nm sunlight (PFD) into energy units (W m-2, 400-3,000 nm)</t>
  </si>
  <si>
    <r>
      <t xml:space="preserve">calculated </t>
    </r>
    <r>
      <rPr>
        <sz val="12"/>
        <color theme="1"/>
        <rFont val="Symbol"/>
        <charset val="2"/>
      </rPr>
      <t>g</t>
    </r>
    <r>
      <rPr>
        <sz val="12"/>
        <color theme="1"/>
        <rFont val="Calibri"/>
        <family val="2"/>
        <scheme val="minor"/>
      </rPr>
      <t xml:space="preserve"> term for Eqn 14.6</t>
    </r>
  </si>
  <si>
    <t>calculated term 2 for Eqn 14.6</t>
  </si>
  <si>
    <t>calculated term 3 for Eqn 14.6</t>
  </si>
  <si>
    <t>Eqn 14.6 component calculations</t>
  </si>
  <si>
    <t>Short wave and long wave component calculations</t>
  </si>
  <si>
    <t>Incident solar radiation</t>
  </si>
  <si>
    <t>This program assumes a clear sky and no diffuse solar component</t>
  </si>
  <si>
    <t>Assumption: elevation = 0 m</t>
  </si>
  <si>
    <t>Atmospheric vapor pressure deficit</t>
  </si>
  <si>
    <t>D, calculated air vpd, kPa (calculated at air temperature)</t>
  </si>
  <si>
    <t>ea, calculated, kPa (calculated at air temperature)</t>
  </si>
  <si>
    <t>esat, calculated using calculated leaf temperature, kPa</t>
  </si>
  <si>
    <t>true vpd, calculated using calculated leaf tempeature, kPa</t>
  </si>
  <si>
    <t xml:space="preserve">Atmospheric vapor pressure </t>
  </si>
  <si>
    <t>cloudiness (no change allowed)</t>
  </si>
  <si>
    <t xml:space="preserve">v4 agrees with Campbell and Norman equation 14.6 example </t>
  </si>
  <si>
    <t>Note that while 3 and 0.3 cm are listed as input, actual are 10 and 0.3 cm</t>
  </si>
  <si>
    <t>Note that Campbell does not distinguish among soalr and infrared radiation sources</t>
  </si>
  <si>
    <t>Input leaf parameters</t>
  </si>
  <si>
    <t>Input environmental parameters</t>
  </si>
  <si>
    <t>Calculated environmental parameters</t>
  </si>
  <si>
    <t>stomatal H2O conductance - top side</t>
  </si>
  <si>
    <t>stomatal H2O conductance - bottom side</t>
  </si>
  <si>
    <t>build v6 with variable cloudiness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</si>
</sst>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0000"/>
    <numFmt numFmtId="165" formatCode="0.0"/>
    <numFmt numFmtId="166" formatCode="0.000"/>
    <numFmt numFmtId="167" formatCode="0.000000"/>
    <numFmt numFmtId="168" formatCode="#,##0.0"/>
  </numFmts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Symbol"/>
      <charset val="2"/>
    </font>
    <font>
      <b/>
      <sz val="12"/>
      <color rgb="FFFF0000"/>
      <name val="Calibri (Body)_x0000_"/>
    </font>
    <font>
      <b/>
      <sz val="12"/>
      <color rgb="FFFF0000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Symbol"/>
      <charset val="2"/>
    </font>
    <font>
      <sz val="12"/>
      <color theme="1"/>
      <name val="Calibri"/>
      <family val="2"/>
      <charset val="2"/>
      <scheme val="minor"/>
    </font>
    <font>
      <b/>
      <sz val="14"/>
      <color theme="4"/>
      <name val="Calibri"/>
      <family val="2"/>
      <scheme val="minor"/>
    </font>
    <font>
      <b/>
      <sz val="12"/>
      <color rgb="FFC0000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2" xfId="0" applyFont="1" applyBorder="1"/>
    <xf numFmtId="165" fontId="0" fillId="0" borderId="9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0" borderId="5" xfId="0" applyBorder="1"/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4" fontId="0" fillId="0" borderId="9" xfId="0" applyNumberFormat="1" applyBorder="1"/>
    <xf numFmtId="0" fontId="0" fillId="0" borderId="9" xfId="0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0" fontId="10" fillId="0" borderId="4" xfId="0" applyFont="1" applyBorder="1"/>
    <xf numFmtId="167" fontId="0" fillId="0" borderId="10" xfId="0" applyNumberFormat="1" applyBorder="1" applyAlignment="1">
      <alignment horizontal="center" vertical="center"/>
    </xf>
    <xf numFmtId="0" fontId="10" fillId="0" borderId="5" xfId="0" applyFont="1" applyBorder="1"/>
    <xf numFmtId="1" fontId="0" fillId="0" borderId="9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5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3" borderId="1" xfId="0" applyFont="1" applyFill="1" applyBorder="1"/>
    <xf numFmtId="3" fontId="0" fillId="0" borderId="0" xfId="0" applyNumberFormat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0" fontId="0" fillId="0" borderId="2" xfId="0" applyBorder="1"/>
    <xf numFmtId="0" fontId="12" fillId="0" borderId="3" xfId="0" applyFont="1" applyBorder="1"/>
    <xf numFmtId="168" fontId="0" fillId="0" borderId="10" xfId="0" applyNumberFormat="1" applyBorder="1" applyAlignment="1">
      <alignment horizontal="center" vertical="center"/>
    </xf>
    <xf numFmtId="0" fontId="8" fillId="0" borderId="3" xfId="0" applyFont="1" applyBorder="1"/>
    <xf numFmtId="0" fontId="0" fillId="0" borderId="11" xfId="0" applyBorder="1"/>
    <xf numFmtId="0" fontId="0" fillId="0" borderId="12" xfId="0" applyBorder="1"/>
    <xf numFmtId="2" fontId="11" fillId="4" borderId="1" xfId="0" applyNumberFormat="1" applyFont="1" applyFill="1" applyBorder="1" applyAlignment="1">
      <alignment horizontal="center" vertical="center"/>
    </xf>
    <xf numFmtId="1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6" fontId="0" fillId="2" borderId="13" xfId="0" applyNumberFormat="1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es(T)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0574409448818898"/>
                  <c:y val="-3.282407407407407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'Table A3'!$B$5:$B$14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</c:numCache>
            </c:numRef>
          </c:xVal>
          <c:yVal>
            <c:numRef>
              <c:f>'Table A3'!$C$5:$C$14</c:f>
              <c:numCache>
                <c:formatCode>General</c:formatCode>
                <c:ptCount val="10"/>
                <c:pt idx="0">
                  <c:v>0.61099999999999999</c:v>
                </c:pt>
                <c:pt idx="1">
                  <c:v>0.872</c:v>
                </c:pt>
                <c:pt idx="2">
                  <c:v>1.2270000000000001</c:v>
                </c:pt>
                <c:pt idx="3">
                  <c:v>1.704</c:v>
                </c:pt>
                <c:pt idx="4">
                  <c:v>2.3359999999999999</c:v>
                </c:pt>
                <c:pt idx="5">
                  <c:v>3.1659999999999999</c:v>
                </c:pt>
                <c:pt idx="6">
                  <c:v>4.242</c:v>
                </c:pt>
                <c:pt idx="7">
                  <c:v>5.6239999999999997</c:v>
                </c:pt>
                <c:pt idx="8">
                  <c:v>7.3819999999999997</c:v>
                </c:pt>
                <c:pt idx="9">
                  <c:v>9.5969999999999995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9C-C641-8E0D-4DE17E457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8800927"/>
        <c:axId val="820226095"/>
      </c:scatterChart>
      <c:valAx>
        <c:axId val="7488009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226095"/>
        <c:crosses val="autoZero"/>
        <c:crossBetween val="midCat"/>
      </c:valAx>
      <c:valAx>
        <c:axId val="82022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8009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slope of vapor pressure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0574409448818898"/>
                  <c:y val="-3.282407407407407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'Table A3'!$B$5:$B$14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</c:numCache>
            </c:numRef>
          </c:xVal>
          <c:yVal>
            <c:numRef>
              <c:f>'Table A3'!$D$5:$D$14</c:f>
              <c:numCache>
                <c:formatCode>General</c:formatCode>
                <c:ptCount val="10"/>
                <c:pt idx="0">
                  <c:v>44</c:v>
                </c:pt>
                <c:pt idx="1">
                  <c:v>61</c:v>
                </c:pt>
                <c:pt idx="2">
                  <c:v>82</c:v>
                </c:pt>
                <c:pt idx="3">
                  <c:v>110</c:v>
                </c:pt>
                <c:pt idx="4">
                  <c:v>145</c:v>
                </c:pt>
                <c:pt idx="5">
                  <c:v>189</c:v>
                </c:pt>
                <c:pt idx="6">
                  <c:v>244</c:v>
                </c:pt>
                <c:pt idx="7">
                  <c:v>311</c:v>
                </c:pt>
                <c:pt idx="8">
                  <c:v>394</c:v>
                </c:pt>
                <c:pt idx="9">
                  <c:v>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E4-1644-A03E-C0C394A88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8800927"/>
        <c:axId val="820226095"/>
      </c:scatterChart>
      <c:valAx>
        <c:axId val="7488009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226095"/>
        <c:crosses val="autoZero"/>
        <c:crossBetween val="midCat"/>
      </c:valAx>
      <c:valAx>
        <c:axId val="82022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8009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blackbody emittance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0574409448818898"/>
                  <c:y val="-3.282407407407407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'Table A3'!$B$5:$B$14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</c:numCache>
            </c:numRef>
          </c:xVal>
          <c:yVal>
            <c:numRef>
              <c:f>'Table A3'!$E$5:$E$14</c:f>
              <c:numCache>
                <c:formatCode>General</c:formatCode>
                <c:ptCount val="10"/>
                <c:pt idx="0">
                  <c:v>316</c:v>
                </c:pt>
                <c:pt idx="1">
                  <c:v>339</c:v>
                </c:pt>
                <c:pt idx="2">
                  <c:v>365</c:v>
                </c:pt>
                <c:pt idx="3">
                  <c:v>391</c:v>
                </c:pt>
                <c:pt idx="4">
                  <c:v>419</c:v>
                </c:pt>
                <c:pt idx="5">
                  <c:v>448</c:v>
                </c:pt>
                <c:pt idx="6">
                  <c:v>479</c:v>
                </c:pt>
                <c:pt idx="7">
                  <c:v>511</c:v>
                </c:pt>
                <c:pt idx="8">
                  <c:v>545</c:v>
                </c:pt>
                <c:pt idx="9">
                  <c:v>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FD-9C4B-AB12-B19A3988F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8800927"/>
        <c:axId val="820226095"/>
      </c:scatterChart>
      <c:valAx>
        <c:axId val="7488009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226095"/>
        <c:crosses val="autoZero"/>
        <c:crossBetween val="midCat"/>
      </c:valAx>
      <c:valAx>
        <c:axId val="82022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8009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radiative conductance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0574409448818898"/>
                  <c:y val="-3.282407407407407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'Table A3'!$B$5:$B$14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</c:numCache>
            </c:numRef>
          </c:xVal>
          <c:yVal>
            <c:numRef>
              <c:f>'Table A3'!$F$5:$F$14</c:f>
              <c:numCache>
                <c:formatCode>General</c:formatCode>
                <c:ptCount val="10"/>
                <c:pt idx="0">
                  <c:v>0.158</c:v>
                </c:pt>
                <c:pt idx="1">
                  <c:v>0.16700000000000001</c:v>
                </c:pt>
                <c:pt idx="2">
                  <c:v>0.17599999999999999</c:v>
                </c:pt>
                <c:pt idx="3">
                  <c:v>0.185</c:v>
                </c:pt>
                <c:pt idx="4">
                  <c:v>0.19500000000000001</c:v>
                </c:pt>
                <c:pt idx="5">
                  <c:v>0.20499999999999999</c:v>
                </c:pt>
                <c:pt idx="6">
                  <c:v>0.216</c:v>
                </c:pt>
                <c:pt idx="7">
                  <c:v>0.22700000000000001</c:v>
                </c:pt>
                <c:pt idx="8">
                  <c:v>0.23799999999999999</c:v>
                </c:pt>
                <c:pt idx="9">
                  <c:v>0.249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02-8F42-AF97-A36E8E4A9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8800927"/>
        <c:axId val="820226095"/>
      </c:scatterChart>
      <c:valAx>
        <c:axId val="7488009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226095"/>
        <c:crosses val="autoZero"/>
        <c:crossBetween val="midCat"/>
      </c:valAx>
      <c:valAx>
        <c:axId val="820226095"/>
        <c:scaling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8009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clear sky emissivity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0574409448818898"/>
                  <c:y val="-3.282407407407407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'Table A3'!$B$5:$B$14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</c:numCache>
            </c:numRef>
          </c:xVal>
          <c:yVal>
            <c:numRef>
              <c:f>'Table A3'!$G$5:$G$14</c:f>
              <c:numCache>
                <c:formatCode>General</c:formatCode>
                <c:ptCount val="10"/>
                <c:pt idx="0">
                  <c:v>0.69</c:v>
                </c:pt>
                <c:pt idx="1">
                  <c:v>0.71</c:v>
                </c:pt>
                <c:pt idx="2">
                  <c:v>0.74</c:v>
                </c:pt>
                <c:pt idx="3">
                  <c:v>0.76</c:v>
                </c:pt>
                <c:pt idx="4">
                  <c:v>0.79</c:v>
                </c:pt>
                <c:pt idx="5">
                  <c:v>0.82</c:v>
                </c:pt>
                <c:pt idx="6">
                  <c:v>0.85</c:v>
                </c:pt>
                <c:pt idx="7">
                  <c:v>0.87</c:v>
                </c:pt>
                <c:pt idx="8">
                  <c:v>0.9</c:v>
                </c:pt>
                <c:pt idx="9">
                  <c:v>0.93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72-034D-908F-9B3B6DB75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8800927"/>
        <c:axId val="820226095"/>
      </c:scatterChart>
      <c:valAx>
        <c:axId val="7488009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226095"/>
        <c:crosses val="autoZero"/>
        <c:crossBetween val="midCat"/>
      </c:valAx>
      <c:valAx>
        <c:axId val="820226095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8009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249560</xdr:colOff>
      <xdr:row>2</xdr:row>
      <xdr:rowOff>524519</xdr:rowOff>
    </xdr:from>
    <xdr:to>
      <xdr:col>12</xdr:col>
      <xdr:colOff>691839</xdr:colOff>
      <xdr:row>15</xdr:row>
      <xdr:rowOff>168209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30E7AD-E4B3-934C-B9C5-9820ADDC28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5</xdr:col>
      <xdr:colOff>797524</xdr:colOff>
      <xdr:row>30</xdr:row>
      <xdr:rowOff>87746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05127B-94A5-8047-8C40-7E9169E0D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442279</xdr:colOff>
      <xdr:row>30</xdr:row>
      <xdr:rowOff>87746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86FF4BB-CA0C-E44F-94DE-B89C9ED2F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5</xdr:col>
      <xdr:colOff>797524</xdr:colOff>
      <xdr:row>45</xdr:row>
      <xdr:rowOff>87746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471DC69-4098-AF45-8B83-FA15B62E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12</xdr:col>
      <xdr:colOff>442279</xdr:colOff>
      <xdr:row>45</xdr:row>
      <xdr:rowOff>87746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6443767-CF1B-ED49-905F-EEB194669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53BDA-61A1-724C-8178-74EF69B789BF}">
  <dimension ref="B1:H33"/>
  <sheetViews>
    <sheetView tabSelected="1" zoomScale="148" zoomScaleNormal="148" workbookViewId="0">
      <selection activeCell="F22" sqref="F22"/>
    </sheetView>
  </sheetViews>
  <sheetFormatPr baseColWidth="10" defaultRowHeight="16"/>
  <cols>
    <col min="1" max="1" width="3.33203125" customWidth="1"/>
    <col min="2" max="2" width="37.83203125" customWidth="1"/>
    <col min="3" max="3" width="8.1640625" customWidth="1"/>
    <col min="4" max="4" width="12.5" customWidth="1"/>
    <col min="5" max="5" width="12.6640625" customWidth="1"/>
    <col min="6" max="6" width="5.33203125" customWidth="1"/>
    <col min="7" max="7" width="7.5" customWidth="1"/>
    <col min="8" max="8" width="16.33203125" style="11" customWidth="1"/>
  </cols>
  <sheetData>
    <row r="1" spans="2:7" ht="17" thickBot="1"/>
    <row r="2" spans="2:7" ht="17" thickBot="1">
      <c r="B2" s="45" t="s">
        <v>75</v>
      </c>
      <c r="D2" s="54" t="s">
        <v>96</v>
      </c>
      <c r="E2" s="55"/>
      <c r="F2" s="13"/>
    </row>
    <row r="3" spans="2:7">
      <c r="B3" s="46" t="s">
        <v>76</v>
      </c>
      <c r="D3" s="12"/>
      <c r="E3" s="13"/>
      <c r="F3" s="13"/>
    </row>
    <row r="4" spans="2:7" ht="18" customHeight="1">
      <c r="C4" s="11" t="s">
        <v>18</v>
      </c>
      <c r="D4" s="12" t="s">
        <v>23</v>
      </c>
      <c r="E4" s="13" t="s">
        <v>29</v>
      </c>
      <c r="F4" s="13"/>
    </row>
    <row r="5" spans="2:7">
      <c r="B5" s="7" t="s">
        <v>107</v>
      </c>
      <c r="D5" s="8"/>
      <c r="E5" s="13"/>
      <c r="F5" s="13"/>
    </row>
    <row r="6" spans="2:7">
      <c r="B6" t="s">
        <v>37</v>
      </c>
      <c r="C6" s="16">
        <v>0</v>
      </c>
      <c r="D6" s="10" t="s">
        <v>24</v>
      </c>
      <c r="E6" s="13" t="s">
        <v>30</v>
      </c>
      <c r="F6" s="13"/>
    </row>
    <row r="7" spans="2:7">
      <c r="B7" t="s">
        <v>36</v>
      </c>
      <c r="C7" s="16">
        <v>74.5</v>
      </c>
      <c r="D7" s="10" t="s">
        <v>27</v>
      </c>
      <c r="E7" s="13" t="s">
        <v>35</v>
      </c>
      <c r="F7" s="13"/>
    </row>
    <row r="8" spans="2:7">
      <c r="B8" t="s">
        <v>19</v>
      </c>
      <c r="C8" s="17">
        <v>10</v>
      </c>
      <c r="D8" s="10" t="s">
        <v>25</v>
      </c>
      <c r="E8" s="13" t="s">
        <v>31</v>
      </c>
      <c r="F8" s="13"/>
    </row>
    <row r="9" spans="2:7">
      <c r="B9" t="s">
        <v>110</v>
      </c>
      <c r="C9" s="18">
        <v>0</v>
      </c>
      <c r="D9" s="10" t="s">
        <v>17</v>
      </c>
      <c r="E9" s="13" t="s">
        <v>32</v>
      </c>
      <c r="F9" s="13"/>
    </row>
    <row r="10" spans="2:7">
      <c r="B10" t="s">
        <v>111</v>
      </c>
      <c r="C10" s="18">
        <v>0.5</v>
      </c>
      <c r="D10" s="10" t="s">
        <v>17</v>
      </c>
      <c r="E10" s="13" t="s">
        <v>32</v>
      </c>
      <c r="F10" s="13"/>
    </row>
    <row r="11" spans="2:7">
      <c r="C11" s="11"/>
      <c r="D11" s="10"/>
      <c r="E11" s="13"/>
      <c r="F11" s="13"/>
    </row>
    <row r="12" spans="2:7" ht="17">
      <c r="B12" s="9" t="s">
        <v>108</v>
      </c>
      <c r="C12" s="11"/>
      <c r="D12" s="10"/>
      <c r="E12" s="13"/>
      <c r="F12" s="13"/>
    </row>
    <row r="13" spans="2:7">
      <c r="B13" t="s">
        <v>20</v>
      </c>
      <c r="C13" s="19">
        <v>38</v>
      </c>
      <c r="D13" s="10" t="s">
        <v>26</v>
      </c>
      <c r="E13" s="13" t="s">
        <v>59</v>
      </c>
      <c r="F13" s="13"/>
    </row>
    <row r="14" spans="2:7">
      <c r="B14" t="s">
        <v>21</v>
      </c>
      <c r="C14" s="19">
        <v>16</v>
      </c>
      <c r="D14" s="10" t="s">
        <v>27</v>
      </c>
      <c r="E14" s="13" t="s">
        <v>33</v>
      </c>
      <c r="F14" s="13"/>
    </row>
    <row r="15" spans="2:7">
      <c r="B15" t="s">
        <v>22</v>
      </c>
      <c r="C15" s="17">
        <v>1.5</v>
      </c>
      <c r="D15" s="10" t="s">
        <v>28</v>
      </c>
      <c r="E15" s="13" t="s">
        <v>34</v>
      </c>
      <c r="F15" s="13"/>
    </row>
    <row r="16" spans="2:7">
      <c r="B16" t="s">
        <v>86</v>
      </c>
      <c r="C16" s="25">
        <v>1240</v>
      </c>
      <c r="D16" s="10" t="s">
        <v>45</v>
      </c>
      <c r="E16" s="13" t="s">
        <v>46</v>
      </c>
      <c r="F16" s="13"/>
      <c r="G16" s="47"/>
    </row>
    <row r="17" spans="2:6">
      <c r="B17" t="s">
        <v>103</v>
      </c>
      <c r="C17" s="61">
        <v>0</v>
      </c>
      <c r="D17" s="10" t="s">
        <v>27</v>
      </c>
      <c r="E17" s="13" t="s">
        <v>33</v>
      </c>
      <c r="F17" s="13"/>
    </row>
    <row r="18" spans="2:6">
      <c r="C18" s="10"/>
    </row>
    <row r="19" spans="2:6">
      <c r="B19" s="42" t="s">
        <v>64</v>
      </c>
    </row>
    <row r="20" spans="2:6" ht="19">
      <c r="B20" t="s">
        <v>78</v>
      </c>
      <c r="C20" s="43">
        <f>'Leaf energy budget calculations'!A27</f>
        <v>34.957974691486889</v>
      </c>
      <c r="D20" s="10" t="s">
        <v>26</v>
      </c>
    </row>
    <row r="21" spans="2:6" ht="18" customHeight="1">
      <c r="B21" s="3" t="s">
        <v>79</v>
      </c>
      <c r="C21" s="44">
        <f>'Leaf energy budget calculations'!A28</f>
        <v>7.6295053752237108</v>
      </c>
      <c r="D21" s="10" t="s">
        <v>77</v>
      </c>
    </row>
    <row r="22" spans="2:6" ht="19">
      <c r="B22" t="s">
        <v>80</v>
      </c>
      <c r="C22" s="44">
        <f>'Leaf energy budget calculations'!D28</f>
        <v>0.1639514850964533</v>
      </c>
      <c r="D22" s="10" t="s">
        <v>17</v>
      </c>
    </row>
    <row r="23" spans="2:6" ht="19">
      <c r="B23" t="s">
        <v>85</v>
      </c>
      <c r="C23" s="48">
        <f>0.728*C7-11.9</f>
        <v>42.335999999999999</v>
      </c>
      <c r="D23" s="10" t="s">
        <v>27</v>
      </c>
    </row>
    <row r="25" spans="2:6">
      <c r="B25" s="42" t="s">
        <v>109</v>
      </c>
    </row>
    <row r="26" spans="2:6" ht="19">
      <c r="B26" t="s">
        <v>102</v>
      </c>
      <c r="C26" s="56">
        <f>'Leaf energy budget calculations'!A22</f>
        <v>1.0840799999999999</v>
      </c>
      <c r="D26" s="10" t="s">
        <v>4</v>
      </c>
    </row>
    <row r="27" spans="2:6" ht="19">
      <c r="B27" t="s">
        <v>97</v>
      </c>
      <c r="C27" s="56">
        <f>'Leaf energy budget calculations'!A24</f>
        <v>4.7140097209578808</v>
      </c>
      <c r="D27" s="10" t="s">
        <v>4</v>
      </c>
    </row>
    <row r="28" spans="2:6" ht="19">
      <c r="B28" t="s">
        <v>94</v>
      </c>
      <c r="C28" s="49">
        <f>'Leaf energy budget calculations'!A10</f>
        <v>598.96819787985862</v>
      </c>
      <c r="D28" s="10" t="s">
        <v>16</v>
      </c>
    </row>
    <row r="29" spans="2:6" ht="19">
      <c r="B29" t="s">
        <v>87</v>
      </c>
      <c r="C29" s="49">
        <f>'Leaf energy budget calculations'!A13</f>
        <v>750.42001248926488</v>
      </c>
      <c r="D29" s="10" t="s">
        <v>16</v>
      </c>
    </row>
    <row r="32" spans="2:6">
      <c r="B32" t="s">
        <v>88</v>
      </c>
    </row>
    <row r="33" spans="2:2">
      <c r="B33" t="s">
        <v>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9F474-6F72-B54D-8B24-74AAA0A5C26C}">
  <dimension ref="A1:E28"/>
  <sheetViews>
    <sheetView zoomScale="168" zoomScaleNormal="168" workbookViewId="0">
      <selection activeCell="A13" sqref="A13"/>
    </sheetView>
  </sheetViews>
  <sheetFormatPr baseColWidth="10" defaultRowHeight="16"/>
  <cols>
    <col min="1" max="1" width="13.83203125" customWidth="1"/>
    <col min="2" max="2" width="49.33203125" customWidth="1"/>
    <col min="3" max="3" width="4.33203125" customWidth="1"/>
    <col min="4" max="4" width="14.33203125" customWidth="1"/>
    <col min="5" max="5" width="53.33203125" customWidth="1"/>
  </cols>
  <sheetData>
    <row r="1" spans="1:5" ht="10" customHeight="1" thickBot="1"/>
    <row r="2" spans="1:5">
      <c r="A2" s="26" t="s">
        <v>74</v>
      </c>
      <c r="D2" s="27" t="s">
        <v>70</v>
      </c>
      <c r="E2" s="14"/>
    </row>
    <row r="3" spans="1:5">
      <c r="D3" s="35">
        <v>5.6697000000000001E-8</v>
      </c>
      <c r="E3" s="15" t="s">
        <v>39</v>
      </c>
    </row>
    <row r="4" spans="1:5">
      <c r="A4" s="26" t="s">
        <v>65</v>
      </c>
      <c r="D4" s="36">
        <f>0.0054*'Student inputs'!C13+0.6849</f>
        <v>0.8901</v>
      </c>
      <c r="E4" s="15" t="s">
        <v>41</v>
      </c>
    </row>
    <row r="5" spans="1:5" ht="17" thickBot="1">
      <c r="D5" s="36">
        <v>0.98</v>
      </c>
      <c r="E5" s="15" t="s">
        <v>42</v>
      </c>
    </row>
    <row r="6" spans="1:5">
      <c r="A6" s="50"/>
      <c r="B6" s="51" t="s">
        <v>93</v>
      </c>
      <c r="D6" s="36">
        <v>44</v>
      </c>
      <c r="E6" s="15" t="s">
        <v>53</v>
      </c>
    </row>
    <row r="7" spans="1:5">
      <c r="A7" s="28">
        <f>D4*D3*(273+D14)^4</f>
        <v>472.10699680142045</v>
      </c>
      <c r="B7" s="15" t="s">
        <v>40</v>
      </c>
      <c r="D7" s="36">
        <v>29.3</v>
      </c>
      <c r="E7" s="15" t="s">
        <v>54</v>
      </c>
    </row>
    <row r="8" spans="1:5">
      <c r="A8" s="28">
        <f>D5*D3*(273+D14)^4</f>
        <v>519.7897504385935</v>
      </c>
      <c r="B8" s="15" t="s">
        <v>38</v>
      </c>
      <c r="D8" s="36">
        <v>101.3</v>
      </c>
      <c r="E8" s="15" t="s">
        <v>55</v>
      </c>
    </row>
    <row r="9" spans="1:5">
      <c r="A9" s="29">
        <f>COS(RADIANS('Student inputs'!C6))*'Student inputs'!C16</f>
        <v>1240</v>
      </c>
      <c r="B9" s="15" t="s">
        <v>82</v>
      </c>
      <c r="D9" s="37">
        <f>0.001*'Table A3'!D16/D8</f>
        <v>3.5973761105626855E-3</v>
      </c>
      <c r="E9" s="15" t="s">
        <v>50</v>
      </c>
    </row>
    <row r="10" spans="1:5">
      <c r="A10" s="41">
        <f>A9*1367/2830</f>
        <v>598.96819787985862</v>
      </c>
      <c r="B10" s="15" t="s">
        <v>83</v>
      </c>
      <c r="D10" s="37">
        <v>6.6E-4</v>
      </c>
      <c r="E10" s="38" t="s">
        <v>52</v>
      </c>
    </row>
    <row r="11" spans="1:5" ht="17" thickBot="1">
      <c r="A11" s="29">
        <f>('Student inputs'!C7)*A9/100</f>
        <v>923.8</v>
      </c>
      <c r="B11" s="15" t="s">
        <v>81</v>
      </c>
      <c r="D11" s="39">
        <f>D10*D24/D28</f>
        <v>4.4555131403560717E-3</v>
      </c>
      <c r="E11" s="40" t="s">
        <v>51</v>
      </c>
    </row>
    <row r="12" spans="1:5" ht="17" thickBot="1">
      <c r="A12" s="29">
        <f>((0.73*'Student inputs'!C7-11.9)/100)*A10</f>
        <v>254.47163886925793</v>
      </c>
      <c r="B12" s="15" t="s">
        <v>84</v>
      </c>
    </row>
    <row r="13" spans="1:5" ht="17" thickBot="1">
      <c r="A13" s="52">
        <f>A12+0.5*(A7+A8)</f>
        <v>750.42001248926488</v>
      </c>
      <c r="B13" s="32" t="s">
        <v>58</v>
      </c>
      <c r="D13" s="27" t="s">
        <v>44</v>
      </c>
      <c r="E13" s="14"/>
    </row>
    <row r="14" spans="1:5" ht="17" thickBot="1">
      <c r="D14" s="57">
        <f>'Student inputs'!C13</f>
        <v>38</v>
      </c>
      <c r="E14" s="15" t="s">
        <v>47</v>
      </c>
    </row>
    <row r="15" spans="1:5">
      <c r="A15" s="50"/>
      <c r="B15" s="53" t="s">
        <v>92</v>
      </c>
      <c r="D15" s="58">
        <f>'Student inputs'!C15</f>
        <v>1.5</v>
      </c>
      <c r="E15" s="15" t="s">
        <v>48</v>
      </c>
    </row>
    <row r="16" spans="1:5">
      <c r="A16" s="30">
        <f>D11/(D11+D9)</f>
        <v>0.55328131326874275</v>
      </c>
      <c r="B16" s="15" t="s">
        <v>89</v>
      </c>
      <c r="D16" s="58">
        <f>0.7*0.01*'Student inputs'!C8</f>
        <v>6.9999999999999993E-2</v>
      </c>
      <c r="E16" s="15" t="s">
        <v>71</v>
      </c>
    </row>
    <row r="17" spans="1:5">
      <c r="A17" s="30">
        <f>(A13-A8)/(D24*D7)</f>
        <v>7.1117998214428075</v>
      </c>
      <c r="B17" s="15" t="s">
        <v>90</v>
      </c>
      <c r="D17" s="59">
        <f>'Student inputs'!C9</f>
        <v>0</v>
      </c>
      <c r="E17" s="15" t="s">
        <v>60</v>
      </c>
    </row>
    <row r="18" spans="1:5" ht="17" thickBot="1">
      <c r="A18" s="31">
        <f>A21/(D8*D11)</f>
        <v>12.609952814431239</v>
      </c>
      <c r="B18" s="32" t="s">
        <v>91</v>
      </c>
      <c r="D18" s="59">
        <f>'Student inputs'!C10</f>
        <v>0.5</v>
      </c>
      <c r="E18" s="15" t="s">
        <v>61</v>
      </c>
    </row>
    <row r="19" spans="1:5" ht="17" thickBot="1">
      <c r="D19" s="60">
        <f>'Student inputs'!C14</f>
        <v>16</v>
      </c>
      <c r="E19" s="32" t="s">
        <v>21</v>
      </c>
    </row>
    <row r="20" spans="1:5" ht="17" thickBot="1">
      <c r="A20" s="27" t="s">
        <v>66</v>
      </c>
      <c r="B20" s="14"/>
    </row>
    <row r="21" spans="1:5">
      <c r="A21" s="33">
        <f>(1-D19/100)*'Table A3'!C16</f>
        <v>5.6914199999999999</v>
      </c>
      <c r="B21" s="15" t="s">
        <v>98</v>
      </c>
      <c r="D21" s="27" t="s">
        <v>49</v>
      </c>
      <c r="E21" s="14"/>
    </row>
    <row r="22" spans="1:5">
      <c r="A22" s="33">
        <f>(0.0047*D14^2-0.0216*D14+0.8095)*D19/100</f>
        <v>1.0840799999999999</v>
      </c>
      <c r="B22" s="15" t="s">
        <v>99</v>
      </c>
      <c r="D22" s="30">
        <f>1.4*0.135*SQRT(D15/D16)</f>
        <v>0.87489999428506116</v>
      </c>
      <c r="E22" s="15" t="s">
        <v>56</v>
      </c>
    </row>
    <row r="23" spans="1:5">
      <c r="A23" s="33">
        <f>0.0047*A27^2-0.0216*A27+0.8095</f>
        <v>5.798089720957881</v>
      </c>
      <c r="B23" s="15" t="s">
        <v>100</v>
      </c>
      <c r="D23" s="30">
        <f>'Table A3'!F16</f>
        <v>0.2319</v>
      </c>
      <c r="E23" s="15" t="s">
        <v>73</v>
      </c>
    </row>
    <row r="24" spans="1:5" ht="17" thickBot="1">
      <c r="A24" s="34">
        <f>A23-A22</f>
        <v>4.7140097209578808</v>
      </c>
      <c r="B24" s="32" t="s">
        <v>101</v>
      </c>
      <c r="D24" s="30">
        <f>D22+'Table A3'!F16</f>
        <v>1.106799994285061</v>
      </c>
      <c r="E24" s="15" t="s">
        <v>62</v>
      </c>
    </row>
    <row r="25" spans="1:5" ht="17" thickBot="1">
      <c r="D25" s="31">
        <f>1.4*0.147*SQRT(D15/D16)</f>
        <v>0.9526688826659554</v>
      </c>
      <c r="E25" s="32" t="s">
        <v>57</v>
      </c>
    </row>
    <row r="26" spans="1:5" ht="17" thickBot="1">
      <c r="A26" s="27" t="s">
        <v>67</v>
      </c>
      <c r="B26" s="14"/>
    </row>
    <row r="27" spans="1:5">
      <c r="A27" s="28">
        <f>D14+A16*(A17-A18)</f>
        <v>34.957974691486889</v>
      </c>
      <c r="B27" s="15" t="s">
        <v>68</v>
      </c>
      <c r="D27" s="27" t="s">
        <v>72</v>
      </c>
      <c r="E27" s="14"/>
    </row>
    <row r="28" spans="1:5" ht="17" thickBot="1">
      <c r="A28" s="34">
        <f>1000*A24*D28/D8</f>
        <v>7.6295053752237108</v>
      </c>
      <c r="B28" s="32" t="s">
        <v>69</v>
      </c>
      <c r="D28" s="31">
        <f>0.5*(D17*D25)/(D17+D25)+0.5*(D18*D25)/(D18+D25)</f>
        <v>0.1639514850964533</v>
      </c>
      <c r="E28" s="3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A5D29-6C55-D24B-87AE-CE821D5907BD}">
  <dimension ref="A1:I16"/>
  <sheetViews>
    <sheetView zoomScale="143" zoomScaleNormal="143" workbookViewId="0">
      <selection activeCell="C16" sqref="C16"/>
    </sheetView>
  </sheetViews>
  <sheetFormatPr baseColWidth="10" defaultRowHeight="16"/>
  <cols>
    <col min="1" max="2" width="11.83203125" style="1" customWidth="1"/>
    <col min="3" max="3" width="13.5" style="1" customWidth="1"/>
    <col min="4" max="4" width="12.83203125" style="1" customWidth="1"/>
    <col min="5" max="5" width="11.33203125" style="1" customWidth="1"/>
    <col min="6" max="6" width="11.83203125" style="1" customWidth="1"/>
    <col min="7" max="7" width="11.33203125" style="1" customWidth="1"/>
  </cols>
  <sheetData>
    <row r="1" spans="1:9">
      <c r="A1" s="4" t="s">
        <v>6</v>
      </c>
    </row>
    <row r="2" spans="1:9" ht="24">
      <c r="C2" s="5" t="s">
        <v>10</v>
      </c>
      <c r="D2" s="6" t="s">
        <v>11</v>
      </c>
      <c r="E2" s="5" t="s">
        <v>12</v>
      </c>
      <c r="F2" s="5" t="s">
        <v>13</v>
      </c>
      <c r="G2" s="6" t="s">
        <v>15</v>
      </c>
    </row>
    <row r="3" spans="1:9" ht="51">
      <c r="A3" s="2" t="s">
        <v>0</v>
      </c>
      <c r="B3" s="2" t="s">
        <v>0</v>
      </c>
      <c r="C3" s="2" t="s">
        <v>3</v>
      </c>
      <c r="D3" s="2" t="s">
        <v>5</v>
      </c>
      <c r="E3" s="2" t="s">
        <v>8</v>
      </c>
      <c r="F3" s="2" t="s">
        <v>9</v>
      </c>
      <c r="G3" s="2" t="s">
        <v>14</v>
      </c>
      <c r="H3" s="3"/>
      <c r="I3" s="3"/>
    </row>
    <row r="4" spans="1:9">
      <c r="A4" s="1" t="s">
        <v>1</v>
      </c>
      <c r="B4" s="1" t="s">
        <v>2</v>
      </c>
      <c r="C4" s="1" t="s">
        <v>4</v>
      </c>
      <c r="D4" s="1" t="s">
        <v>7</v>
      </c>
      <c r="E4" s="1" t="s">
        <v>16</v>
      </c>
      <c r="F4" s="1" t="s">
        <v>17</v>
      </c>
    </row>
    <row r="5" spans="1:9">
      <c r="B5" s="1">
        <v>0</v>
      </c>
      <c r="C5" s="1">
        <v>0.61099999999999999</v>
      </c>
      <c r="D5" s="1">
        <v>44</v>
      </c>
      <c r="E5" s="1">
        <v>316</v>
      </c>
      <c r="F5" s="1">
        <v>0.158</v>
      </c>
      <c r="G5" s="1">
        <v>0.69</v>
      </c>
    </row>
    <row r="6" spans="1:9">
      <c r="B6" s="1">
        <v>5</v>
      </c>
      <c r="C6" s="1">
        <v>0.872</v>
      </c>
      <c r="D6" s="1">
        <v>61</v>
      </c>
      <c r="E6" s="1">
        <v>339</v>
      </c>
      <c r="F6" s="1">
        <v>0.16700000000000001</v>
      </c>
      <c r="G6" s="1">
        <v>0.71</v>
      </c>
    </row>
    <row r="7" spans="1:9">
      <c r="B7" s="1">
        <v>10</v>
      </c>
      <c r="C7" s="1">
        <v>1.2270000000000001</v>
      </c>
      <c r="D7" s="1">
        <v>82</v>
      </c>
      <c r="E7" s="1">
        <v>365</v>
      </c>
      <c r="F7" s="1">
        <v>0.17599999999999999</v>
      </c>
      <c r="G7" s="1">
        <v>0.74</v>
      </c>
    </row>
    <row r="8" spans="1:9">
      <c r="B8" s="1">
        <v>15</v>
      </c>
      <c r="C8" s="1">
        <v>1.704</v>
      </c>
      <c r="D8" s="1">
        <v>110</v>
      </c>
      <c r="E8" s="1">
        <v>391</v>
      </c>
      <c r="F8" s="1">
        <v>0.185</v>
      </c>
      <c r="G8" s="1">
        <v>0.76</v>
      </c>
    </row>
    <row r="9" spans="1:9">
      <c r="B9" s="1">
        <v>20</v>
      </c>
      <c r="C9" s="1">
        <v>2.3359999999999999</v>
      </c>
      <c r="D9" s="1">
        <v>145</v>
      </c>
      <c r="E9" s="1">
        <v>419</v>
      </c>
      <c r="F9" s="1">
        <v>0.19500000000000001</v>
      </c>
      <c r="G9" s="1">
        <v>0.79</v>
      </c>
    </row>
    <row r="10" spans="1:9">
      <c r="B10" s="1">
        <v>25</v>
      </c>
      <c r="C10" s="1">
        <v>3.1659999999999999</v>
      </c>
      <c r="D10" s="1">
        <v>189</v>
      </c>
      <c r="E10" s="1">
        <v>448</v>
      </c>
      <c r="F10" s="1">
        <v>0.20499999999999999</v>
      </c>
      <c r="G10" s="1">
        <v>0.82</v>
      </c>
    </row>
    <row r="11" spans="1:9">
      <c r="B11" s="1">
        <v>30</v>
      </c>
      <c r="C11" s="1">
        <v>4.242</v>
      </c>
      <c r="D11" s="1">
        <v>244</v>
      </c>
      <c r="E11" s="1">
        <v>479</v>
      </c>
      <c r="F11" s="1">
        <v>0.216</v>
      </c>
      <c r="G11" s="1">
        <v>0.85</v>
      </c>
    </row>
    <row r="12" spans="1:9">
      <c r="B12" s="1">
        <v>35</v>
      </c>
      <c r="C12" s="1">
        <v>5.6239999999999997</v>
      </c>
      <c r="D12" s="1">
        <v>311</v>
      </c>
      <c r="E12" s="1">
        <v>511</v>
      </c>
      <c r="F12" s="1">
        <v>0.22700000000000001</v>
      </c>
      <c r="G12" s="1">
        <v>0.87</v>
      </c>
    </row>
    <row r="13" spans="1:9">
      <c r="B13" s="1">
        <v>40</v>
      </c>
      <c r="C13" s="1">
        <v>7.3819999999999997</v>
      </c>
      <c r="D13" s="1">
        <v>394</v>
      </c>
      <c r="E13" s="1">
        <v>545</v>
      </c>
      <c r="F13" s="1">
        <v>0.23799999999999999</v>
      </c>
      <c r="G13" s="1">
        <v>0.9</v>
      </c>
    </row>
    <row r="14" spans="1:9">
      <c r="B14" s="1">
        <v>45</v>
      </c>
      <c r="C14" s="1">
        <v>9.5969999999999995</v>
      </c>
      <c r="D14" s="1">
        <v>495</v>
      </c>
      <c r="E14" s="1">
        <v>581</v>
      </c>
      <c r="F14" s="1">
        <v>0.249</v>
      </c>
      <c r="G14" s="1">
        <v>0.93</v>
      </c>
    </row>
    <row r="16" spans="1:9">
      <c r="B16" s="20" t="s">
        <v>43</v>
      </c>
      <c r="C16" s="21">
        <f>0.0047*'Student inputs'!C13^2-0.0216*'Student inputs'!C13+0.8095</f>
        <v>6.7755000000000001</v>
      </c>
      <c r="D16" s="22">
        <f>0.205*'Student inputs'!C13^2+0.4489*'Student inputs'!C13+51.336</f>
        <v>364.41419999999999</v>
      </c>
      <c r="E16" s="21">
        <f>5.8788*'Student inputs'!C13+307.13</f>
        <v>530.52440000000001</v>
      </c>
      <c r="F16" s="23">
        <f>0.002*'Student inputs'!C13+0.1559</f>
        <v>0.2319</v>
      </c>
      <c r="G16" s="24">
        <f>0.0054*'Student inputs'!C13+0.6849</f>
        <v>0.8901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AAE56-A887-FC4C-8350-EA14BD87C562}">
  <dimension ref="A3:A6"/>
  <sheetViews>
    <sheetView zoomScale="182" zoomScaleNormal="182" workbookViewId="0">
      <selection activeCell="A6" sqref="A6"/>
    </sheetView>
  </sheetViews>
  <sheetFormatPr baseColWidth="10" defaultRowHeight="16"/>
  <sheetData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Student inputs</vt:lpstr>
      <vt:lpstr>Leaf energy budget calculations</vt:lpstr>
      <vt:lpstr>Table A3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 Ehleringer</cp:lastModifiedBy>
  <dcterms:created xsi:type="dcterms:W3CDTF">2020-06-13T04:48:28Z</dcterms:created>
  <dcterms:modified xsi:type="dcterms:W3CDTF">2023-09-26T18:07:19Z</dcterms:modified>
</cp:coreProperties>
</file>