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imlaptop/Dropbox (Ehleringer)/5.0 Teaching related/5.1 BIOL 5460 Plant Ecology ƒ/7.0 Models for students ƒ/4 Canopy photosynthesis &amp; light penetration model ƒ/"/>
    </mc:Choice>
  </mc:AlternateContent>
  <xr:revisionPtr revIDLastSave="0" documentId="13_ncr:1_{D5B753F9-91A4-B04C-9FA8-6FF04D172C23}" xr6:coauthVersionLast="45" xr6:coauthVersionMax="45" xr10:uidLastSave="{00000000-0000-0000-0000-000000000000}"/>
  <bookViews>
    <workbookView xWindow="1720" yWindow="940" windowWidth="34240" windowHeight="21140" tabRatio="857" xr2:uid="{00000000-000D-0000-FFFF-FFFF00000000}"/>
  </bookViews>
  <sheets>
    <sheet name="Inputs" sheetId="3" r:id="rId1"/>
    <sheet name="photosynthesis model" sheetId="50" state="hidden" r:id="rId2"/>
    <sheet name="Hour 0" sheetId="36" state="hidden" r:id="rId3"/>
    <sheet name="Hour 1" sheetId="35" state="hidden" r:id="rId4"/>
    <sheet name="Hour 2" sheetId="34" state="hidden" r:id="rId5"/>
    <sheet name="Hour 3" sheetId="33" state="hidden" r:id="rId6"/>
    <sheet name="Hour 4" sheetId="32" state="hidden" r:id="rId7"/>
    <sheet name="Hour 5" sheetId="31" state="hidden" r:id="rId8"/>
    <sheet name="Hour 6" sheetId="30" state="hidden" r:id="rId9"/>
    <sheet name="Hour 7" sheetId="29" state="hidden" r:id="rId10"/>
    <sheet name="Hour 8" sheetId="28" state="hidden" r:id="rId11"/>
    <sheet name="Hour 9" sheetId="27" state="hidden" r:id="rId12"/>
    <sheet name="Hour 10" sheetId="41" state="hidden" r:id="rId13"/>
    <sheet name="Hour 11" sheetId="40" state="hidden" r:id="rId14"/>
    <sheet name="Hour 12" sheetId="39" state="hidden" r:id="rId15"/>
    <sheet name="Hour 13" sheetId="38" state="hidden" r:id="rId16"/>
    <sheet name="Hour14" sheetId="37" state="hidden" r:id="rId17"/>
    <sheet name="Hour 15" sheetId="11" state="hidden" r:id="rId18"/>
    <sheet name="Hour 16" sheetId="49" state="hidden" r:id="rId19"/>
    <sheet name="Hour 17" sheetId="48" state="hidden" r:id="rId20"/>
    <sheet name="Hour 18" sheetId="47" state="hidden" r:id="rId21"/>
    <sheet name="Hour 19" sheetId="46" state="hidden" r:id="rId22"/>
    <sheet name="Hour 20" sheetId="45" state="hidden" r:id="rId23"/>
    <sheet name="Hour 21" sheetId="44" state="hidden" r:id="rId24"/>
    <sheet name="Hour 22" sheetId="43" state="hidden" r:id="rId25"/>
    <sheet name="Hour 23" sheetId="42" state="hidden" r:id="rId26"/>
  </sheets>
  <definedNames>
    <definedName name="solver_eng" localSheetId="2" hidden="1">1</definedName>
    <definedName name="solver_eng" localSheetId="3" hidden="1">1</definedName>
    <definedName name="solver_eng" localSheetId="12" hidden="1">1</definedName>
    <definedName name="solver_eng" localSheetId="13" hidden="1">1</definedName>
    <definedName name="solver_eng" localSheetId="14" hidden="1">1</definedName>
    <definedName name="solver_eng" localSheetId="15" hidden="1">1</definedName>
    <definedName name="solver_eng" localSheetId="17" hidden="1">1</definedName>
    <definedName name="solver_eng" localSheetId="18" hidden="1">1</definedName>
    <definedName name="solver_eng" localSheetId="19" hidden="1">1</definedName>
    <definedName name="solver_eng" localSheetId="20" hidden="1">1</definedName>
    <definedName name="solver_eng" localSheetId="21" hidden="1">1</definedName>
    <definedName name="solver_eng" localSheetId="4" hidden="1">1</definedName>
    <definedName name="solver_eng" localSheetId="22" hidden="1">1</definedName>
    <definedName name="solver_eng" localSheetId="23" hidden="1">1</definedName>
    <definedName name="solver_eng" localSheetId="24" hidden="1">1</definedName>
    <definedName name="solver_eng" localSheetId="25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eng" localSheetId="10" hidden="1">1</definedName>
    <definedName name="solver_eng" localSheetId="11" hidden="1">1</definedName>
    <definedName name="solver_eng" localSheetId="16" hidden="1">1</definedName>
    <definedName name="solver_lin" localSheetId="2" hidden="1">2</definedName>
    <definedName name="solver_lin" localSheetId="3" hidden="1">2</definedName>
    <definedName name="solver_lin" localSheetId="12" hidden="1">2</definedName>
    <definedName name="solver_lin" localSheetId="13" hidden="1">2</definedName>
    <definedName name="solver_lin" localSheetId="14" hidden="1">2</definedName>
    <definedName name="solver_lin" localSheetId="15" hidden="1">2</definedName>
    <definedName name="solver_lin" localSheetId="17" hidden="1">2</definedName>
    <definedName name="solver_lin" localSheetId="18" hidden="1">2</definedName>
    <definedName name="solver_lin" localSheetId="19" hidden="1">2</definedName>
    <definedName name="solver_lin" localSheetId="20" hidden="1">2</definedName>
    <definedName name="solver_lin" localSheetId="21" hidden="1">2</definedName>
    <definedName name="solver_lin" localSheetId="4" hidden="1">2</definedName>
    <definedName name="solver_lin" localSheetId="22" hidden="1">2</definedName>
    <definedName name="solver_lin" localSheetId="23" hidden="1">2</definedName>
    <definedName name="solver_lin" localSheetId="24" hidden="1">2</definedName>
    <definedName name="solver_lin" localSheetId="25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in" localSheetId="16" hidden="1">2</definedName>
    <definedName name="solver_neg" localSheetId="2" hidden="1">1</definedName>
    <definedName name="solver_neg" localSheetId="3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17" hidden="1">1</definedName>
    <definedName name="solver_neg" localSheetId="18" hidden="1">1</definedName>
    <definedName name="solver_neg" localSheetId="19" hidden="1">1</definedName>
    <definedName name="solver_neg" localSheetId="20" hidden="1">1</definedName>
    <definedName name="solver_neg" localSheetId="21" hidden="1">1</definedName>
    <definedName name="solver_neg" localSheetId="4" hidden="1">1</definedName>
    <definedName name="solver_neg" localSheetId="22" hidden="1">1</definedName>
    <definedName name="solver_neg" localSheetId="23" hidden="1">1</definedName>
    <definedName name="solver_neg" localSheetId="24" hidden="1">1</definedName>
    <definedName name="solver_neg" localSheetId="25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6" hidden="1">1</definedName>
    <definedName name="solver_num" localSheetId="2" hidden="1">0</definedName>
    <definedName name="solver_num" localSheetId="3" hidden="1">0</definedName>
    <definedName name="solver_num" localSheetId="12" hidden="1">0</definedName>
    <definedName name="solver_num" localSheetId="13" hidden="1">0</definedName>
    <definedName name="solver_num" localSheetId="14" hidden="1">0</definedName>
    <definedName name="solver_num" localSheetId="15" hidden="1">0</definedName>
    <definedName name="solver_num" localSheetId="17" hidden="1">0</definedName>
    <definedName name="solver_num" localSheetId="18" hidden="1">0</definedName>
    <definedName name="solver_num" localSheetId="19" hidden="1">0</definedName>
    <definedName name="solver_num" localSheetId="20" hidden="1">0</definedName>
    <definedName name="solver_num" localSheetId="21" hidden="1">0</definedName>
    <definedName name="solver_num" localSheetId="4" hidden="1">0</definedName>
    <definedName name="solver_num" localSheetId="22" hidden="1">0</definedName>
    <definedName name="solver_num" localSheetId="23" hidden="1">0</definedName>
    <definedName name="solver_num" localSheetId="24" hidden="1">0</definedName>
    <definedName name="solver_num" localSheetId="25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num" localSheetId="16" hidden="1">0</definedName>
    <definedName name="solver_opt" localSheetId="2" hidden="1">'Hour 0'!$C$1</definedName>
    <definedName name="solver_opt" localSheetId="3" hidden="1">'Hour 1'!$C$1</definedName>
    <definedName name="solver_opt" localSheetId="12" hidden="1">'Hour 10'!$C$1</definedName>
    <definedName name="solver_opt" localSheetId="13" hidden="1">'Hour 11'!$C$1</definedName>
    <definedName name="solver_opt" localSheetId="14" hidden="1">'Hour 12'!$C$1</definedName>
    <definedName name="solver_opt" localSheetId="15" hidden="1">'Hour 13'!$C$1</definedName>
    <definedName name="solver_opt" localSheetId="17" hidden="1">'Hour 15'!$C$1</definedName>
    <definedName name="solver_opt" localSheetId="18" hidden="1">'Hour 16'!$C$1</definedName>
    <definedName name="solver_opt" localSheetId="19" hidden="1">'Hour 17'!$C$1</definedName>
    <definedName name="solver_opt" localSheetId="20" hidden="1">'Hour 18'!$C$1</definedName>
    <definedName name="solver_opt" localSheetId="21" hidden="1">'Hour 19'!$C$1</definedName>
    <definedName name="solver_opt" localSheetId="4" hidden="1">'Hour 2'!$C$1</definedName>
    <definedName name="solver_opt" localSheetId="22" hidden="1">'Hour 20'!$C$1</definedName>
    <definedName name="solver_opt" localSheetId="23" hidden="1">'Hour 21'!$C$1</definedName>
    <definedName name="solver_opt" localSheetId="24" hidden="1">'Hour 22'!$C$1</definedName>
    <definedName name="solver_opt" localSheetId="25" hidden="1">'Hour 23'!$C$1</definedName>
    <definedName name="solver_opt" localSheetId="5" hidden="1">'Hour 3'!$C$1</definedName>
    <definedName name="solver_opt" localSheetId="6" hidden="1">'Hour 4'!$C$1</definedName>
    <definedName name="solver_opt" localSheetId="7" hidden="1">'Hour 5'!$C$1</definedName>
    <definedName name="solver_opt" localSheetId="8" hidden="1">'Hour 6'!$C$1</definedName>
    <definedName name="solver_opt" localSheetId="9" hidden="1">'Hour 7'!$C$1</definedName>
    <definedName name="solver_opt" localSheetId="10" hidden="1">'Hour 8'!$C$1</definedName>
    <definedName name="solver_opt" localSheetId="11" hidden="1">'Hour 9'!$C$1</definedName>
    <definedName name="solver_opt" localSheetId="16" hidden="1">Hour14!$C$1</definedName>
    <definedName name="solver_typ" localSheetId="2" hidden="1">1</definedName>
    <definedName name="solver_typ" localSheetId="3" hidden="1">1</definedName>
    <definedName name="solver_typ" localSheetId="12" hidden="1">1</definedName>
    <definedName name="solver_typ" localSheetId="13" hidden="1">1</definedName>
    <definedName name="solver_typ" localSheetId="14" hidden="1">1</definedName>
    <definedName name="solver_typ" localSheetId="15" hidden="1">1</definedName>
    <definedName name="solver_typ" localSheetId="17" hidden="1">1</definedName>
    <definedName name="solver_typ" localSheetId="18" hidden="1">1</definedName>
    <definedName name="solver_typ" localSheetId="19" hidden="1">1</definedName>
    <definedName name="solver_typ" localSheetId="20" hidden="1">1</definedName>
    <definedName name="solver_typ" localSheetId="21" hidden="1">1</definedName>
    <definedName name="solver_typ" localSheetId="4" hidden="1">1</definedName>
    <definedName name="solver_typ" localSheetId="22" hidden="1">1</definedName>
    <definedName name="solver_typ" localSheetId="23" hidden="1">1</definedName>
    <definedName name="solver_typ" localSheetId="24" hidden="1">1</definedName>
    <definedName name="solver_typ" localSheetId="25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typ" localSheetId="16" hidden="1">1</definedName>
    <definedName name="solver_val" localSheetId="2" hidden="1">0</definedName>
    <definedName name="solver_val" localSheetId="3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7" hidden="1">0</definedName>
    <definedName name="solver_val" localSheetId="18" hidden="1">0</definedName>
    <definedName name="solver_val" localSheetId="19" hidden="1">0</definedName>
    <definedName name="solver_val" localSheetId="20" hidden="1">0</definedName>
    <definedName name="solver_val" localSheetId="21" hidden="1">0</definedName>
    <definedName name="solver_val" localSheetId="4" hidden="1">0</definedName>
    <definedName name="solver_val" localSheetId="22" hidden="1">0</definedName>
    <definedName name="solver_val" localSheetId="23" hidden="1">0</definedName>
    <definedName name="solver_val" localSheetId="24" hidden="1">0</definedName>
    <definedName name="solver_val" localSheetId="25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6" hidden="1">0</definedName>
    <definedName name="solver_ver" localSheetId="2" hidden="1">2</definedName>
    <definedName name="solver_ver" localSheetId="3" hidden="1">2</definedName>
    <definedName name="solver_ver" localSheetId="12" hidden="1">2</definedName>
    <definedName name="solver_ver" localSheetId="13" hidden="1">2</definedName>
    <definedName name="solver_ver" localSheetId="14" hidden="1">2</definedName>
    <definedName name="solver_ver" localSheetId="15" hidden="1">2</definedName>
    <definedName name="solver_ver" localSheetId="17" hidden="1">2</definedName>
    <definedName name="solver_ver" localSheetId="18" hidden="1">2</definedName>
    <definedName name="solver_ver" localSheetId="19" hidden="1">2</definedName>
    <definedName name="solver_ver" localSheetId="20" hidden="1">2</definedName>
    <definedName name="solver_ver" localSheetId="21" hidden="1">2</definedName>
    <definedName name="solver_ver" localSheetId="4" hidden="1">2</definedName>
    <definedName name="solver_ver" localSheetId="22" hidden="1">2</definedName>
    <definedName name="solver_ver" localSheetId="23" hidden="1">2</definedName>
    <definedName name="solver_ver" localSheetId="24" hidden="1">2</definedName>
    <definedName name="solver_ver" localSheetId="25" hidden="1">2</definedName>
    <definedName name="solver_ver" localSheetId="5" hidden="1">2</definedName>
    <definedName name="solver_ver" localSheetId="6" hidden="1">2</definedName>
    <definedName name="solver_ver" localSheetId="7" hidden="1">2</definedName>
    <definedName name="solver_ver" localSheetId="8" hidden="1">2</definedName>
    <definedName name="solver_ver" localSheetId="9" hidden="1">2</definedName>
    <definedName name="solver_ver" localSheetId="10" hidden="1">2</definedName>
    <definedName name="solver_ver" localSheetId="11" hidden="1">2</definedName>
    <definedName name="solver_ver" localSheetId="16" hidden="1">2</definedName>
  </definedNames>
  <calcPr calcId="191029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" i="3" l="1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6" i="3"/>
  <c r="D3" i="50" l="1"/>
  <c r="C4" i="50"/>
  <c r="C5" i="50"/>
  <c r="C6" i="50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3" i="50"/>
  <c r="V7" i="3" l="1"/>
  <c r="W7" i="3"/>
  <c r="X7" i="3"/>
  <c r="V8" i="3"/>
  <c r="W8" i="3"/>
  <c r="X8" i="3"/>
  <c r="V9" i="3"/>
  <c r="W9" i="3"/>
  <c r="X9" i="3"/>
  <c r="V10" i="3"/>
  <c r="W10" i="3"/>
  <c r="X10" i="3"/>
  <c r="V11" i="3"/>
  <c r="W11" i="3"/>
  <c r="X11" i="3"/>
  <c r="V12" i="3"/>
  <c r="W12" i="3"/>
  <c r="X12" i="3"/>
  <c r="V13" i="3"/>
  <c r="W13" i="3"/>
  <c r="X13" i="3"/>
  <c r="V14" i="3"/>
  <c r="W14" i="3"/>
  <c r="X14" i="3"/>
  <c r="V15" i="3"/>
  <c r="W15" i="3"/>
  <c r="X15" i="3"/>
  <c r="V16" i="3"/>
  <c r="W16" i="3"/>
  <c r="X16" i="3"/>
  <c r="V17" i="3"/>
  <c r="W17" i="3"/>
  <c r="X17" i="3"/>
  <c r="V18" i="3"/>
  <c r="W18" i="3"/>
  <c r="X18" i="3"/>
  <c r="V19" i="3"/>
  <c r="W19" i="3"/>
  <c r="X19" i="3"/>
  <c r="V20" i="3"/>
  <c r="W20" i="3"/>
  <c r="X20" i="3"/>
  <c r="V21" i="3"/>
  <c r="W21" i="3"/>
  <c r="X21" i="3"/>
  <c r="V22" i="3"/>
  <c r="W22" i="3"/>
  <c r="X22" i="3"/>
  <c r="V23" i="3"/>
  <c r="W23" i="3"/>
  <c r="X23" i="3"/>
  <c r="V24" i="3"/>
  <c r="W24" i="3"/>
  <c r="X24" i="3"/>
  <c r="V25" i="3"/>
  <c r="W25" i="3"/>
  <c r="X25" i="3"/>
  <c r="V26" i="3"/>
  <c r="W26" i="3"/>
  <c r="X26" i="3"/>
  <c r="V27" i="3"/>
  <c r="W27" i="3"/>
  <c r="X27" i="3"/>
  <c r="V28" i="3"/>
  <c r="W28" i="3"/>
  <c r="X28" i="3"/>
  <c r="V29" i="3"/>
  <c r="W29" i="3"/>
  <c r="X29" i="3"/>
  <c r="X6" i="3"/>
  <c r="W6" i="3"/>
  <c r="V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6" i="3"/>
  <c r="C4" i="42" l="1"/>
  <c r="C7" i="42"/>
  <c r="C9" i="42"/>
  <c r="C4" i="43"/>
  <c r="C7" i="43"/>
  <c r="C9" i="43"/>
  <c r="C4" i="44"/>
  <c r="C7" i="44"/>
  <c r="C9" i="44"/>
  <c r="C4" i="45"/>
  <c r="C7" i="45"/>
  <c r="C9" i="45"/>
  <c r="C4" i="46"/>
  <c r="C7" i="46"/>
  <c r="C9" i="46"/>
  <c r="C4" i="47"/>
  <c r="C7" i="47"/>
  <c r="C9" i="47"/>
  <c r="C4" i="48"/>
  <c r="C7" i="48"/>
  <c r="C9" i="48"/>
  <c r="C4" i="49"/>
  <c r="C7" i="49"/>
  <c r="C9" i="49"/>
  <c r="C4" i="11"/>
  <c r="C7" i="11"/>
  <c r="C9" i="11"/>
  <c r="C4" i="37"/>
  <c r="C7" i="37"/>
  <c r="C9" i="37"/>
  <c r="C4" i="38"/>
  <c r="C7" i="38"/>
  <c r="C9" i="38"/>
  <c r="C4" i="39"/>
  <c r="C7" i="39"/>
  <c r="C9" i="39"/>
  <c r="C4" i="40"/>
  <c r="C7" i="40"/>
  <c r="C9" i="40"/>
  <c r="C4" i="41"/>
  <c r="C7" i="41"/>
  <c r="C9" i="41"/>
  <c r="C4" i="27"/>
  <c r="C7" i="27"/>
  <c r="C9" i="27"/>
  <c r="C4" i="29"/>
  <c r="C7" i="29"/>
  <c r="C9" i="29"/>
  <c r="C4" i="28"/>
  <c r="C7" i="28"/>
  <c r="C9" i="28"/>
  <c r="C4" i="30"/>
  <c r="C7" i="30"/>
  <c r="C9" i="30"/>
  <c r="C4" i="31"/>
  <c r="C7" i="31"/>
  <c r="C9" i="31"/>
  <c r="C4" i="32"/>
  <c r="C7" i="32"/>
  <c r="C9" i="32"/>
  <c r="C4" i="33"/>
  <c r="C7" i="33"/>
  <c r="C9" i="33"/>
  <c r="C4" i="34"/>
  <c r="C7" i="34"/>
  <c r="C9" i="34"/>
  <c r="C4" i="35"/>
  <c r="C7" i="35"/>
  <c r="C9" i="35"/>
  <c r="C4" i="36"/>
  <c r="C7" i="36"/>
  <c r="C9" i="36"/>
  <c r="C6" i="35"/>
  <c r="C5" i="35"/>
  <c r="C6" i="34"/>
  <c r="C5" i="34"/>
  <c r="C6" i="33"/>
  <c r="C5" i="33"/>
  <c r="C6" i="32"/>
  <c r="C5" i="32"/>
  <c r="C6" i="31"/>
  <c r="C5" i="31"/>
  <c r="C6" i="30"/>
  <c r="C5" i="30"/>
  <c r="C6" i="29"/>
  <c r="C5" i="29"/>
  <c r="C6" i="28"/>
  <c r="C5" i="28"/>
  <c r="C6" i="27"/>
  <c r="C5" i="27"/>
  <c r="C6" i="41"/>
  <c r="C5" i="41"/>
  <c r="C6" i="40"/>
  <c r="C5" i="40"/>
  <c r="C12" i="40" s="1"/>
  <c r="C6" i="39"/>
  <c r="C5" i="39"/>
  <c r="C6" i="38"/>
  <c r="C5" i="38"/>
  <c r="C6" i="37"/>
  <c r="C5" i="37"/>
  <c r="C12" i="37" s="1"/>
  <c r="C6" i="11"/>
  <c r="C5" i="11"/>
  <c r="C6" i="49"/>
  <c r="C5" i="49"/>
  <c r="C6" i="48"/>
  <c r="C5" i="48"/>
  <c r="C6" i="47"/>
  <c r="C5" i="47"/>
  <c r="C6" i="46"/>
  <c r="C5" i="46"/>
  <c r="C6" i="45"/>
  <c r="C5" i="45"/>
  <c r="C6" i="44"/>
  <c r="C5" i="44"/>
  <c r="C6" i="43"/>
  <c r="C5" i="43"/>
  <c r="C6" i="42"/>
  <c r="C5" i="42"/>
  <c r="C6" i="36"/>
  <c r="C5" i="36"/>
  <c r="C11" i="49"/>
  <c r="C11" i="48"/>
  <c r="C20" i="48" s="1"/>
  <c r="C11" i="47"/>
  <c r="C11" i="46"/>
  <c r="C11" i="45"/>
  <c r="C11" i="44"/>
  <c r="C20" i="44"/>
  <c r="C11" i="43"/>
  <c r="C11" i="42"/>
  <c r="C20" i="42"/>
  <c r="C11" i="41"/>
  <c r="C11" i="40"/>
  <c r="C20" i="40"/>
  <c r="C11" i="39"/>
  <c r="C11" i="38"/>
  <c r="C20" i="38" s="1"/>
  <c r="C11" i="37"/>
  <c r="C20" i="37"/>
  <c r="C11" i="36"/>
  <c r="C14" i="36" s="1"/>
  <c r="C11" i="35"/>
  <c r="C20" i="35"/>
  <c r="C11" i="34"/>
  <c r="C20" i="34" s="1"/>
  <c r="C11" i="33"/>
  <c r="C20" i="33"/>
  <c r="C11" i="32"/>
  <c r="C11" i="31"/>
  <c r="C20" i="31"/>
  <c r="C11" i="30"/>
  <c r="C20" i="30" s="1"/>
  <c r="C11" i="29"/>
  <c r="C20" i="29"/>
  <c r="C11" i="28"/>
  <c r="C14" i="28" s="1"/>
  <c r="C11" i="27"/>
  <c r="C20" i="27"/>
  <c r="C11" i="11"/>
  <c r="C14" i="32" l="1"/>
  <c r="C12" i="11"/>
  <c r="C12" i="36"/>
  <c r="C13" i="36"/>
  <c r="C13" i="34"/>
  <c r="C13" i="47"/>
  <c r="C20" i="11"/>
  <c r="C20" i="28"/>
  <c r="C20" i="32"/>
  <c r="C20" i="36"/>
  <c r="C13" i="42"/>
  <c r="C13" i="44"/>
  <c r="C13" i="48"/>
  <c r="C13" i="11"/>
  <c r="C13" i="38"/>
  <c r="C15" i="48"/>
  <c r="C14" i="27"/>
  <c r="C15" i="29"/>
  <c r="C14" i="37"/>
  <c r="C12" i="44"/>
  <c r="C12" i="46"/>
  <c r="C15" i="49"/>
  <c r="C20" i="49"/>
  <c r="C13" i="49"/>
  <c r="C14" i="43"/>
  <c r="C20" i="43"/>
  <c r="C12" i="43"/>
  <c r="C14" i="47"/>
  <c r="C20" i="47"/>
  <c r="C12" i="47"/>
  <c r="C15" i="45"/>
  <c r="C20" i="45"/>
  <c r="C14" i="41"/>
  <c r="C12" i="41"/>
  <c r="C20" i="41"/>
  <c r="C13" i="45"/>
  <c r="C15" i="39"/>
  <c r="C20" i="39"/>
  <c r="C13" i="39"/>
  <c r="C20" i="46"/>
  <c r="C13" i="37"/>
  <c r="C13" i="41"/>
  <c r="C15" i="41"/>
  <c r="C15" i="47"/>
  <c r="C12" i="39"/>
  <c r="C15" i="33"/>
  <c r="C12" i="33"/>
  <c r="C14" i="33"/>
  <c r="C14" i="40"/>
  <c r="C15" i="40"/>
  <c r="C13" i="40"/>
  <c r="C14" i="42"/>
  <c r="C15" i="42"/>
  <c r="C15" i="44"/>
  <c r="C14" i="44"/>
  <c r="C12" i="42"/>
  <c r="C12" i="45"/>
  <c r="C12" i="48"/>
  <c r="C13" i="27"/>
  <c r="C12" i="28"/>
  <c r="C14" i="48"/>
  <c r="C15" i="27"/>
  <c r="C12" i="27"/>
  <c r="C14" i="31"/>
  <c r="C13" i="31"/>
  <c r="C15" i="35"/>
  <c r="C13" i="35"/>
  <c r="C14" i="46"/>
  <c r="C15" i="46"/>
  <c r="C14" i="11"/>
  <c r="C15" i="11"/>
  <c r="C15" i="30"/>
  <c r="C12" i="30"/>
  <c r="C15" i="34"/>
  <c r="C12" i="34"/>
  <c r="G8" i="36"/>
  <c r="C15" i="38"/>
  <c r="C14" i="38"/>
  <c r="C13" i="43"/>
  <c r="C13" i="46"/>
  <c r="C12" i="49"/>
  <c r="C12" i="38"/>
  <c r="C13" i="28"/>
  <c r="C13" i="30"/>
  <c r="C14" i="35"/>
  <c r="C15" i="31"/>
  <c r="C14" i="29"/>
  <c r="C14" i="49"/>
  <c r="C12" i="32"/>
  <c r="C13" i="33"/>
  <c r="C12" i="35"/>
  <c r="C14" i="34"/>
  <c r="C15" i="32"/>
  <c r="C17" i="32" s="1"/>
  <c r="C12" i="29"/>
  <c r="C12" i="31"/>
  <c r="C13" i="32"/>
  <c r="C15" i="28"/>
  <c r="C14" i="39"/>
  <c r="C15" i="37"/>
  <c r="C14" i="45"/>
  <c r="C15" i="43"/>
  <c r="C13" i="29"/>
  <c r="C15" i="36"/>
  <c r="C14" i="30"/>
  <c r="C17" i="37" l="1"/>
  <c r="C17" i="27"/>
  <c r="C21" i="37"/>
  <c r="C22" i="37" s="1"/>
  <c r="C21" i="41"/>
  <c r="C22" i="41" s="1"/>
  <c r="C17" i="41"/>
  <c r="C17" i="30"/>
  <c r="C21" i="30"/>
  <c r="C22" i="30" s="1"/>
  <c r="C17" i="49"/>
  <c r="C21" i="49"/>
  <c r="C22" i="49" s="1"/>
  <c r="C21" i="43"/>
  <c r="C22" i="43" s="1"/>
  <c r="C17" i="43"/>
  <c r="C17" i="45"/>
  <c r="C21" i="45"/>
  <c r="C22" i="45" s="1"/>
  <c r="C17" i="34"/>
  <c r="C21" i="34"/>
  <c r="C22" i="34" s="1"/>
  <c r="C21" i="32"/>
  <c r="C22" i="32" s="1"/>
  <c r="C17" i="28"/>
  <c r="C21" i="40"/>
  <c r="C22" i="40" s="1"/>
  <c r="C17" i="40"/>
  <c r="C21" i="31"/>
  <c r="C22" i="31" s="1"/>
  <c r="C17" i="31"/>
  <c r="C21" i="42"/>
  <c r="C22" i="42" s="1"/>
  <c r="C17" i="42"/>
  <c r="C21" i="35"/>
  <c r="C22" i="35" s="1"/>
  <c r="C17" i="35"/>
  <c r="C21" i="11"/>
  <c r="C22" i="11" s="1"/>
  <c r="C17" i="11"/>
  <c r="C21" i="48"/>
  <c r="C22" i="48" s="1"/>
  <c r="C17" i="48"/>
  <c r="G9" i="36"/>
  <c r="G10" i="36" s="1"/>
  <c r="G11" i="36" s="1"/>
  <c r="G12" i="36" s="1"/>
  <c r="G13" i="36" s="1"/>
  <c r="G14" i="36" s="1"/>
  <c r="C17" i="36"/>
  <c r="C17" i="29"/>
  <c r="C21" i="29"/>
  <c r="C22" i="29" s="1"/>
  <c r="C21" i="36"/>
  <c r="C22" i="36" s="1"/>
  <c r="C21" i="28"/>
  <c r="C22" i="28" s="1"/>
  <c r="C21" i="46"/>
  <c r="C22" i="46" s="1"/>
  <c r="C17" i="46"/>
  <c r="C21" i="33"/>
  <c r="C22" i="33" s="1"/>
  <c r="C17" i="33"/>
  <c r="C21" i="47"/>
  <c r="C22" i="47" s="1"/>
  <c r="C17" i="47"/>
  <c r="C21" i="27"/>
  <c r="C22" i="27" s="1"/>
  <c r="C17" i="39"/>
  <c r="C21" i="39"/>
  <c r="C22" i="39" s="1"/>
  <c r="C21" i="38"/>
  <c r="C22" i="38" s="1"/>
  <c r="C17" i="38"/>
  <c r="C21" i="44"/>
  <c r="C22" i="44" s="1"/>
  <c r="C17" i="44"/>
  <c r="C29" i="37" l="1"/>
  <c r="C30" i="37" s="1"/>
  <c r="C31" i="37" s="1"/>
  <c r="C33" i="37" s="1"/>
  <c r="C18" i="37" s="1"/>
  <c r="C23" i="37"/>
  <c r="C27" i="37" s="1"/>
  <c r="C28" i="37" s="1"/>
  <c r="E2" i="37" s="1"/>
  <c r="K19" i="3" s="1"/>
  <c r="C23" i="36"/>
  <c r="C29" i="36"/>
  <c r="C30" i="36" s="1"/>
  <c r="C31" i="36" s="1"/>
  <c r="C29" i="32"/>
  <c r="C30" i="32" s="1"/>
  <c r="C31" i="32" s="1"/>
  <c r="C23" i="32"/>
  <c r="C23" i="41"/>
  <c r="C29" i="41"/>
  <c r="C30" i="41" s="1"/>
  <c r="C31" i="41" s="1"/>
  <c r="C23" i="44"/>
  <c r="C29" i="44"/>
  <c r="C30" i="44" s="1"/>
  <c r="C31" i="44" s="1"/>
  <c r="C23" i="11"/>
  <c r="C29" i="11"/>
  <c r="C30" i="11" s="1"/>
  <c r="C31" i="11" s="1"/>
  <c r="C23" i="42"/>
  <c r="C29" i="42"/>
  <c r="C30" i="42" s="1"/>
  <c r="C31" i="42" s="1"/>
  <c r="C23" i="34"/>
  <c r="C29" i="34"/>
  <c r="C23" i="43"/>
  <c r="C29" i="43"/>
  <c r="C23" i="30"/>
  <c r="C29" i="30"/>
  <c r="C23" i="33"/>
  <c r="C29" i="33"/>
  <c r="C23" i="46"/>
  <c r="C29" i="46"/>
  <c r="C30" i="46" s="1"/>
  <c r="C31" i="46" s="1"/>
  <c r="C32" i="37"/>
  <c r="C23" i="27"/>
  <c r="C29" i="27"/>
  <c r="C30" i="27" s="1"/>
  <c r="C31" i="27" s="1"/>
  <c r="C23" i="29"/>
  <c r="C29" i="29"/>
  <c r="C30" i="29" s="1"/>
  <c r="C31" i="29" s="1"/>
  <c r="C23" i="48"/>
  <c r="C29" i="48"/>
  <c r="C30" i="48" s="1"/>
  <c r="C31" i="48" s="1"/>
  <c r="C29" i="35"/>
  <c r="C23" i="35"/>
  <c r="C23" i="38"/>
  <c r="C29" i="38"/>
  <c r="C23" i="39"/>
  <c r="C29" i="39"/>
  <c r="C23" i="47"/>
  <c r="C29" i="47"/>
  <c r="C30" i="47" s="1"/>
  <c r="C31" i="47" s="1"/>
  <c r="C29" i="28"/>
  <c r="C23" i="28"/>
  <c r="C29" i="31"/>
  <c r="C23" i="31"/>
  <c r="C23" i="40"/>
  <c r="C29" i="40"/>
  <c r="C30" i="40" s="1"/>
  <c r="C31" i="40" s="1"/>
  <c r="C23" i="45"/>
  <c r="C29" i="45"/>
  <c r="C23" i="49"/>
  <c r="C29" i="49"/>
  <c r="C24" i="37" l="1"/>
  <c r="C25" i="37" s="1"/>
  <c r="C30" i="31"/>
  <c r="C31" i="31" s="1"/>
  <c r="C30" i="35"/>
  <c r="C31" i="35" s="1"/>
  <c r="C30" i="30"/>
  <c r="C31" i="30" s="1"/>
  <c r="C30" i="34"/>
  <c r="C31" i="34" s="1"/>
  <c r="C27" i="36"/>
  <c r="C28" i="36" s="1"/>
  <c r="E2" i="36" s="1"/>
  <c r="K29" i="3" s="1"/>
  <c r="C24" i="36"/>
  <c r="C25" i="36" s="1"/>
  <c r="C32" i="40"/>
  <c r="C33" i="40"/>
  <c r="C18" i="40" s="1"/>
  <c r="C32" i="47"/>
  <c r="C33" i="47"/>
  <c r="C18" i="47" s="1"/>
  <c r="C30" i="38"/>
  <c r="C31" i="38" s="1"/>
  <c r="C33" i="48"/>
  <c r="C18" i="48" s="1"/>
  <c r="C32" i="48"/>
  <c r="C33" i="27"/>
  <c r="C18" i="27" s="1"/>
  <c r="C32" i="27"/>
  <c r="C34" i="37"/>
  <c r="C35" i="37" s="1"/>
  <c r="C37" i="37" s="1"/>
  <c r="C38" i="37" s="1"/>
  <c r="C39" i="37" s="1"/>
  <c r="C26" i="37" s="1"/>
  <c r="D2" i="37" s="1"/>
  <c r="J19" i="3" s="1"/>
  <c r="L19" i="3" s="1"/>
  <c r="M19" i="3" s="1"/>
  <c r="C27" i="46"/>
  <c r="C28" i="46" s="1"/>
  <c r="E2" i="46" s="1"/>
  <c r="K24" i="3" s="1"/>
  <c r="C24" i="46"/>
  <c r="C25" i="46" s="1"/>
  <c r="C24" i="30"/>
  <c r="C25" i="30" s="1"/>
  <c r="C27" i="30"/>
  <c r="C28" i="30" s="1"/>
  <c r="E2" i="30" s="1"/>
  <c r="K11" i="3" s="1"/>
  <c r="C24" i="34"/>
  <c r="C25" i="34" s="1"/>
  <c r="C27" i="34"/>
  <c r="C28" i="34" s="1"/>
  <c r="E2" i="34" s="1"/>
  <c r="K7" i="3" s="1"/>
  <c r="C32" i="11"/>
  <c r="C33" i="11"/>
  <c r="C18" i="11" s="1"/>
  <c r="C27" i="44"/>
  <c r="C28" i="44" s="1"/>
  <c r="E2" i="44" s="1"/>
  <c r="K26" i="3" s="1"/>
  <c r="C24" i="44"/>
  <c r="C25" i="44" s="1"/>
  <c r="C32" i="32"/>
  <c r="C33" i="32"/>
  <c r="C18" i="32" s="1"/>
  <c r="C24" i="49"/>
  <c r="C25" i="49" s="1"/>
  <c r="C27" i="49"/>
  <c r="C28" i="49" s="1"/>
  <c r="E2" i="49" s="1"/>
  <c r="K21" i="3" s="1"/>
  <c r="C27" i="39"/>
  <c r="C28" i="39" s="1"/>
  <c r="E2" i="39" s="1"/>
  <c r="K17" i="3" s="1"/>
  <c r="C24" i="39"/>
  <c r="C25" i="39" s="1"/>
  <c r="C27" i="29"/>
  <c r="C28" i="29" s="1"/>
  <c r="E2" i="29" s="1"/>
  <c r="C24" i="29"/>
  <c r="C25" i="29" s="1"/>
  <c r="C32" i="46"/>
  <c r="C33" i="46"/>
  <c r="C18" i="46" s="1"/>
  <c r="C33" i="44"/>
  <c r="C18" i="44" s="1"/>
  <c r="C32" i="44"/>
  <c r="C27" i="32"/>
  <c r="C28" i="32" s="1"/>
  <c r="E2" i="32" s="1"/>
  <c r="K9" i="3" s="1"/>
  <c r="C24" i="32"/>
  <c r="C25" i="32" s="1"/>
  <c r="C30" i="49"/>
  <c r="C31" i="49" s="1"/>
  <c r="C30" i="45"/>
  <c r="C31" i="45" s="1"/>
  <c r="C27" i="40"/>
  <c r="C28" i="40" s="1"/>
  <c r="E2" i="40" s="1"/>
  <c r="K16" i="3" s="1"/>
  <c r="C24" i="40"/>
  <c r="C25" i="40" s="1"/>
  <c r="C24" i="28"/>
  <c r="C25" i="28" s="1"/>
  <c r="C27" i="28"/>
  <c r="C28" i="28" s="1"/>
  <c r="E2" i="28" s="1"/>
  <c r="K13" i="3" s="1"/>
  <c r="C27" i="47"/>
  <c r="C28" i="47" s="1"/>
  <c r="E2" i="47" s="1"/>
  <c r="K23" i="3" s="1"/>
  <c r="C24" i="47"/>
  <c r="C25" i="47" s="1"/>
  <c r="C27" i="38"/>
  <c r="C28" i="38" s="1"/>
  <c r="E2" i="38" s="1"/>
  <c r="K18" i="3" s="1"/>
  <c r="C24" i="38"/>
  <c r="C25" i="38" s="1"/>
  <c r="C27" i="48"/>
  <c r="C28" i="48" s="1"/>
  <c r="C24" i="48"/>
  <c r="C25" i="48" s="1"/>
  <c r="C24" i="27"/>
  <c r="C25" i="27" s="1"/>
  <c r="C27" i="27"/>
  <c r="C28" i="27" s="1"/>
  <c r="E2" i="27" s="1"/>
  <c r="K14" i="3" s="1"/>
  <c r="C30" i="33"/>
  <c r="C31" i="33" s="1"/>
  <c r="C30" i="43"/>
  <c r="C31" i="43" s="1"/>
  <c r="C33" i="42"/>
  <c r="C18" i="42" s="1"/>
  <c r="C32" i="42"/>
  <c r="C27" i="11"/>
  <c r="C28" i="11" s="1"/>
  <c r="E2" i="11" s="1"/>
  <c r="K20" i="3" s="1"/>
  <c r="C24" i="11"/>
  <c r="C25" i="11" s="1"/>
  <c r="C32" i="41"/>
  <c r="C33" i="41"/>
  <c r="C18" i="41" s="1"/>
  <c r="C27" i="45"/>
  <c r="C28" i="45" s="1"/>
  <c r="E2" i="45" s="1"/>
  <c r="K25" i="3" s="1"/>
  <c r="C24" i="45"/>
  <c r="C25" i="45" s="1"/>
  <c r="C27" i="31"/>
  <c r="C28" i="31" s="1"/>
  <c r="E2" i="31" s="1"/>
  <c r="K10" i="3" s="1"/>
  <c r="C24" i="31"/>
  <c r="C25" i="31" s="1"/>
  <c r="C30" i="28"/>
  <c r="C31" i="28" s="1"/>
  <c r="C30" i="39"/>
  <c r="C31" i="39" s="1"/>
  <c r="C27" i="35"/>
  <c r="C28" i="35" s="1"/>
  <c r="E2" i="35" s="1"/>
  <c r="K6" i="3" s="1"/>
  <c r="C24" i="35"/>
  <c r="C25" i="35" s="1"/>
  <c r="C32" i="29"/>
  <c r="C33" i="29"/>
  <c r="C18" i="29" s="1"/>
  <c r="C24" i="33"/>
  <c r="C25" i="33" s="1"/>
  <c r="C27" i="33"/>
  <c r="C28" i="33" s="1"/>
  <c r="E2" i="33" s="1"/>
  <c r="K8" i="3" s="1"/>
  <c r="C27" i="43"/>
  <c r="C28" i="43" s="1"/>
  <c r="E2" i="43" s="1"/>
  <c r="K27" i="3" s="1"/>
  <c r="C24" i="43"/>
  <c r="C25" i="43" s="1"/>
  <c r="C27" i="42"/>
  <c r="C28" i="42" s="1"/>
  <c r="E2" i="42" s="1"/>
  <c r="K28" i="3" s="1"/>
  <c r="C24" i="42"/>
  <c r="C25" i="42" s="1"/>
  <c r="C27" i="41"/>
  <c r="C28" i="41" s="1"/>
  <c r="E2" i="41" s="1"/>
  <c r="K15" i="3" s="1"/>
  <c r="C24" i="41"/>
  <c r="C25" i="41" s="1"/>
  <c r="C32" i="36"/>
  <c r="C33" i="36"/>
  <c r="C18" i="36" s="1"/>
  <c r="Y19" i="3" l="1"/>
  <c r="R19" i="3"/>
  <c r="N19" i="3"/>
  <c r="C34" i="41"/>
  <c r="C34" i="40"/>
  <c r="C35" i="40" s="1"/>
  <c r="C37" i="40" s="1"/>
  <c r="C38" i="40" s="1"/>
  <c r="C39" i="40" s="1"/>
  <c r="C26" i="40" s="1"/>
  <c r="D2" i="40" s="1"/>
  <c r="J16" i="3" s="1"/>
  <c r="L16" i="3" s="1"/>
  <c r="M16" i="3" s="1"/>
  <c r="C34" i="48"/>
  <c r="C35" i="48" s="1"/>
  <c r="C37" i="48" s="1"/>
  <c r="C38" i="48" s="1"/>
  <c r="C39" i="48" s="1"/>
  <c r="C26" i="48" s="1"/>
  <c r="D2" i="48" s="1"/>
  <c r="J22" i="3" s="1"/>
  <c r="C32" i="30"/>
  <c r="C33" i="30"/>
  <c r="C18" i="30" s="1"/>
  <c r="C34" i="47"/>
  <c r="C35" i="47" s="1"/>
  <c r="C37" i="47" s="1"/>
  <c r="C38" i="47" s="1"/>
  <c r="C39" i="47" s="1"/>
  <c r="C26" i="47" s="1"/>
  <c r="D2" i="47" s="1"/>
  <c r="J23" i="3" s="1"/>
  <c r="L23" i="3" s="1"/>
  <c r="M23" i="3" s="1"/>
  <c r="C33" i="31"/>
  <c r="C18" i="31" s="1"/>
  <c r="C32" i="31"/>
  <c r="C32" i="45"/>
  <c r="C33" i="45"/>
  <c r="C18" i="45" s="1"/>
  <c r="C33" i="35"/>
  <c r="C18" i="35" s="1"/>
  <c r="C32" i="35"/>
  <c r="C34" i="29"/>
  <c r="C35" i="29" s="1"/>
  <c r="C37" i="29" s="1"/>
  <c r="C38" i="29" s="1"/>
  <c r="C39" i="29" s="1"/>
  <c r="C26" i="29" s="1"/>
  <c r="D2" i="29" s="1"/>
  <c r="J12" i="3" s="1"/>
  <c r="C32" i="43"/>
  <c r="C33" i="43"/>
  <c r="C18" i="43" s="1"/>
  <c r="C34" i="46"/>
  <c r="C35" i="46" s="1"/>
  <c r="C37" i="46" s="1"/>
  <c r="C38" i="46" s="1"/>
  <c r="C39" i="46" s="1"/>
  <c r="C26" i="46" s="1"/>
  <c r="D2" i="46" s="1"/>
  <c r="J24" i="3" s="1"/>
  <c r="L24" i="3" s="1"/>
  <c r="M24" i="3" s="1"/>
  <c r="C35" i="41"/>
  <c r="C37" i="41" s="1"/>
  <c r="C38" i="41" s="1"/>
  <c r="C39" i="41" s="1"/>
  <c r="C26" i="41" s="1"/>
  <c r="D2" i="41" s="1"/>
  <c r="J15" i="3" s="1"/>
  <c r="L15" i="3" s="1"/>
  <c r="M15" i="3" s="1"/>
  <c r="C34" i="42"/>
  <c r="C35" i="42" s="1"/>
  <c r="C37" i="42" s="1"/>
  <c r="C38" i="42" s="1"/>
  <c r="C39" i="42" s="1"/>
  <c r="C26" i="42" s="1"/>
  <c r="D2" i="42" s="1"/>
  <c r="J28" i="3" s="1"/>
  <c r="L28" i="3" s="1"/>
  <c r="M28" i="3" s="1"/>
  <c r="C32" i="33"/>
  <c r="C33" i="33"/>
  <c r="C18" i="33" s="1"/>
  <c r="C32" i="49"/>
  <c r="C33" i="49"/>
  <c r="C18" i="49" s="1"/>
  <c r="C34" i="44"/>
  <c r="C35" i="44" s="1"/>
  <c r="C37" i="44" s="1"/>
  <c r="C38" i="44" s="1"/>
  <c r="C39" i="44" s="1"/>
  <c r="C26" i="44" s="1"/>
  <c r="D2" i="44" s="1"/>
  <c r="J26" i="3" s="1"/>
  <c r="L26" i="3" s="1"/>
  <c r="M26" i="3" s="1"/>
  <c r="C34" i="32"/>
  <c r="C35" i="32" s="1"/>
  <c r="C37" i="32" s="1"/>
  <c r="C38" i="32" s="1"/>
  <c r="C39" i="32" s="1"/>
  <c r="C26" i="32" s="1"/>
  <c r="D2" i="32" s="1"/>
  <c r="J9" i="3" s="1"/>
  <c r="L9" i="3" s="1"/>
  <c r="M9" i="3" s="1"/>
  <c r="C34" i="11"/>
  <c r="C35" i="11" s="1"/>
  <c r="C37" i="11" s="1"/>
  <c r="C38" i="11" s="1"/>
  <c r="C39" i="11" s="1"/>
  <c r="C26" i="11" s="1"/>
  <c r="D2" i="11" s="1"/>
  <c r="J20" i="3" s="1"/>
  <c r="L20" i="3" s="1"/>
  <c r="M20" i="3" s="1"/>
  <c r="C34" i="27"/>
  <c r="C35" i="27" s="1"/>
  <c r="C37" i="27" s="1"/>
  <c r="C38" i="27" s="1"/>
  <c r="C39" i="27" s="1"/>
  <c r="C26" i="27" s="1"/>
  <c r="D2" i="27" s="1"/>
  <c r="J14" i="3" s="1"/>
  <c r="L14" i="3" s="1"/>
  <c r="M14" i="3" s="1"/>
  <c r="C32" i="39"/>
  <c r="C33" i="39"/>
  <c r="C18" i="39" s="1"/>
  <c r="C34" i="36"/>
  <c r="C35" i="36" s="1"/>
  <c r="C37" i="36" s="1"/>
  <c r="C38" i="36" s="1"/>
  <c r="C39" i="36" s="1"/>
  <c r="C26" i="36" s="1"/>
  <c r="D2" i="36" s="1"/>
  <c r="J29" i="3" s="1"/>
  <c r="L29" i="3" s="1"/>
  <c r="M29" i="3" s="1"/>
  <c r="C32" i="28"/>
  <c r="C33" i="28"/>
  <c r="C18" i="28" s="1"/>
  <c r="K12" i="3"/>
  <c r="K22" i="3"/>
  <c r="C33" i="38"/>
  <c r="C18" i="38" s="1"/>
  <c r="C32" i="38"/>
  <c r="C32" i="34"/>
  <c r="C33" i="34"/>
  <c r="C18" i="34" s="1"/>
  <c r="Y9" i="3" l="1"/>
  <c r="R9" i="3"/>
  <c r="Y26" i="3"/>
  <c r="R26" i="3"/>
  <c r="Y14" i="3"/>
  <c r="R14" i="3"/>
  <c r="Y28" i="3"/>
  <c r="R28" i="3"/>
  <c r="Y29" i="3"/>
  <c r="R29" i="3"/>
  <c r="Y20" i="3"/>
  <c r="R20" i="3"/>
  <c r="Y15" i="3"/>
  <c r="R15" i="3"/>
  <c r="Y24" i="3"/>
  <c r="R24" i="3"/>
  <c r="Y23" i="3"/>
  <c r="R23" i="3"/>
  <c r="Y16" i="3"/>
  <c r="R16" i="3"/>
  <c r="Z19" i="3"/>
  <c r="S19" i="3"/>
  <c r="N23" i="3"/>
  <c r="N20" i="3"/>
  <c r="N15" i="3"/>
  <c r="N14" i="3"/>
  <c r="N29" i="3"/>
  <c r="N24" i="3"/>
  <c r="N28" i="3"/>
  <c r="N16" i="3"/>
  <c r="N9" i="3"/>
  <c r="N26" i="3"/>
  <c r="O19" i="3"/>
  <c r="T19" i="3" s="1"/>
  <c r="F6" i="3"/>
  <c r="C34" i="34"/>
  <c r="C35" i="34" s="1"/>
  <c r="C37" i="34" s="1"/>
  <c r="C38" i="34" s="1"/>
  <c r="C39" i="34" s="1"/>
  <c r="C26" i="34" s="1"/>
  <c r="D2" i="34" s="1"/>
  <c r="J7" i="3" s="1"/>
  <c r="L7" i="3" s="1"/>
  <c r="M7" i="3" s="1"/>
  <c r="C34" i="28"/>
  <c r="C35" i="28" s="1"/>
  <c r="C37" i="28" s="1"/>
  <c r="C38" i="28" s="1"/>
  <c r="C39" i="28" s="1"/>
  <c r="C26" i="28" s="1"/>
  <c r="D2" i="28" s="1"/>
  <c r="J13" i="3" s="1"/>
  <c r="L13" i="3" s="1"/>
  <c r="M13" i="3" s="1"/>
  <c r="C34" i="49"/>
  <c r="C34" i="43"/>
  <c r="C35" i="43" s="1"/>
  <c r="C37" i="43" s="1"/>
  <c r="C38" i="43" s="1"/>
  <c r="C39" i="43" s="1"/>
  <c r="C26" i="43" s="1"/>
  <c r="D2" i="43" s="1"/>
  <c r="J27" i="3" s="1"/>
  <c r="L27" i="3" s="1"/>
  <c r="M27" i="3" s="1"/>
  <c r="C34" i="30"/>
  <c r="C35" i="30" s="1"/>
  <c r="C37" i="30" s="1"/>
  <c r="C38" i="30" s="1"/>
  <c r="C39" i="30" s="1"/>
  <c r="C26" i="30" s="1"/>
  <c r="D2" i="30" s="1"/>
  <c r="J11" i="3" s="1"/>
  <c r="L11" i="3" s="1"/>
  <c r="M11" i="3" s="1"/>
  <c r="C34" i="38"/>
  <c r="C35" i="38" s="1"/>
  <c r="C37" i="38" s="1"/>
  <c r="C38" i="38" s="1"/>
  <c r="C39" i="38" s="1"/>
  <c r="C26" i="38" s="1"/>
  <c r="D2" i="38" s="1"/>
  <c r="J18" i="3" s="1"/>
  <c r="L18" i="3" s="1"/>
  <c r="M18" i="3" s="1"/>
  <c r="C34" i="39"/>
  <c r="C35" i="39" s="1"/>
  <c r="C37" i="39" s="1"/>
  <c r="C38" i="39" s="1"/>
  <c r="C39" i="39" s="1"/>
  <c r="C26" i="39" s="1"/>
  <c r="D2" i="39" s="1"/>
  <c r="J17" i="3" s="1"/>
  <c r="L17" i="3" s="1"/>
  <c r="M17" i="3" s="1"/>
  <c r="L22" i="3"/>
  <c r="M22" i="3" s="1"/>
  <c r="L12" i="3"/>
  <c r="M12" i="3" s="1"/>
  <c r="C34" i="31"/>
  <c r="C35" i="31" s="1"/>
  <c r="C37" i="31" s="1"/>
  <c r="C38" i="31" s="1"/>
  <c r="C39" i="31" s="1"/>
  <c r="C26" i="31" s="1"/>
  <c r="D2" i="31" s="1"/>
  <c r="J10" i="3" s="1"/>
  <c r="L10" i="3" s="1"/>
  <c r="M10" i="3" s="1"/>
  <c r="C35" i="49"/>
  <c r="C37" i="49" s="1"/>
  <c r="C38" i="49" s="1"/>
  <c r="C39" i="49" s="1"/>
  <c r="C26" i="49" s="1"/>
  <c r="D2" i="49" s="1"/>
  <c r="J21" i="3" s="1"/>
  <c r="L21" i="3" s="1"/>
  <c r="M21" i="3" s="1"/>
  <c r="C34" i="33"/>
  <c r="C35" i="33" s="1"/>
  <c r="C37" i="33" s="1"/>
  <c r="C38" i="33" s="1"/>
  <c r="C39" i="33" s="1"/>
  <c r="C26" i="33" s="1"/>
  <c r="D2" i="33" s="1"/>
  <c r="J8" i="3" s="1"/>
  <c r="L8" i="3" s="1"/>
  <c r="M8" i="3" s="1"/>
  <c r="C34" i="35"/>
  <c r="C35" i="35" s="1"/>
  <c r="C37" i="35" s="1"/>
  <c r="C38" i="35" s="1"/>
  <c r="C39" i="35" s="1"/>
  <c r="C26" i="35" s="1"/>
  <c r="D2" i="35" s="1"/>
  <c r="J6" i="3" s="1"/>
  <c r="C34" i="45"/>
  <c r="C35" i="45" s="1"/>
  <c r="C37" i="45" s="1"/>
  <c r="C38" i="45" s="1"/>
  <c r="C39" i="45" s="1"/>
  <c r="C26" i="45" s="1"/>
  <c r="D2" i="45" s="1"/>
  <c r="J25" i="3" s="1"/>
  <c r="L25" i="3" s="1"/>
  <c r="M25" i="3" s="1"/>
  <c r="Y25" i="3" l="1"/>
  <c r="R25" i="3"/>
  <c r="Y18" i="3"/>
  <c r="R18" i="3"/>
  <c r="Y11" i="3"/>
  <c r="R11" i="3"/>
  <c r="Y22" i="3"/>
  <c r="R22" i="3"/>
  <c r="Y10" i="3"/>
  <c r="R10" i="3"/>
  <c r="Y13" i="3"/>
  <c r="R13" i="3"/>
  <c r="Y12" i="3"/>
  <c r="R12" i="3"/>
  <c r="Y7" i="3"/>
  <c r="R7" i="3"/>
  <c r="Y8" i="3"/>
  <c r="R8" i="3"/>
  <c r="Y27" i="3"/>
  <c r="R27" i="3"/>
  <c r="Y21" i="3"/>
  <c r="R21" i="3"/>
  <c r="Y17" i="3"/>
  <c r="R17" i="3"/>
  <c r="Z26" i="3"/>
  <c r="S26" i="3"/>
  <c r="Z9" i="3"/>
  <c r="S9" i="3"/>
  <c r="Z29" i="3"/>
  <c r="S29" i="3"/>
  <c r="Z23" i="3"/>
  <c r="S23" i="3"/>
  <c r="Z20" i="3"/>
  <c r="S20" i="3"/>
  <c r="Z14" i="3"/>
  <c r="S14" i="3"/>
  <c r="Z24" i="3"/>
  <c r="S24" i="3"/>
  <c r="Z16" i="3"/>
  <c r="S16" i="3"/>
  <c r="Z28" i="3"/>
  <c r="S28" i="3"/>
  <c r="Z15" i="3"/>
  <c r="S15" i="3"/>
  <c r="AA19" i="3"/>
  <c r="N7" i="3"/>
  <c r="N27" i="3"/>
  <c r="O26" i="3"/>
  <c r="T26" i="3" s="1"/>
  <c r="O16" i="3"/>
  <c r="T16" i="3" s="1"/>
  <c r="O24" i="3"/>
  <c r="T24" i="3" s="1"/>
  <c r="O14" i="3"/>
  <c r="T14" i="3" s="1"/>
  <c r="O20" i="3"/>
  <c r="T20" i="3" s="1"/>
  <c r="N12" i="3"/>
  <c r="N8" i="3"/>
  <c r="N22" i="3"/>
  <c r="N21" i="3"/>
  <c r="N17" i="3"/>
  <c r="N11" i="3"/>
  <c r="N25" i="3"/>
  <c r="N10" i="3"/>
  <c r="N18" i="3"/>
  <c r="N13" i="3"/>
  <c r="P19" i="3"/>
  <c r="AB19" i="3" s="1"/>
  <c r="O9" i="3"/>
  <c r="T9" i="3" s="1"/>
  <c r="O28" i="3"/>
  <c r="T28" i="3" s="1"/>
  <c r="O29" i="3"/>
  <c r="T29" i="3" s="1"/>
  <c r="O15" i="3"/>
  <c r="T15" i="3" s="1"/>
  <c r="O23" i="3"/>
  <c r="T23" i="3" s="1"/>
  <c r="F5" i="3"/>
  <c r="F7" i="3" s="1"/>
  <c r="L6" i="3"/>
  <c r="M6" i="3" s="1"/>
  <c r="Y6" i="3" l="1"/>
  <c r="R6" i="3"/>
  <c r="Z10" i="3"/>
  <c r="S10" i="3"/>
  <c r="Z25" i="3"/>
  <c r="S25" i="3"/>
  <c r="Z22" i="3"/>
  <c r="S22" i="3"/>
  <c r="Z27" i="3"/>
  <c r="S27" i="3"/>
  <c r="Z21" i="3"/>
  <c r="S21" i="3"/>
  <c r="Z13" i="3"/>
  <c r="S13" i="3"/>
  <c r="Z11" i="3"/>
  <c r="S11" i="3"/>
  <c r="Z8" i="3"/>
  <c r="S8" i="3"/>
  <c r="Z7" i="3"/>
  <c r="S7" i="3"/>
  <c r="Z18" i="3"/>
  <c r="S18" i="3"/>
  <c r="Z17" i="3"/>
  <c r="S17" i="3"/>
  <c r="Z12" i="3"/>
  <c r="S12" i="3"/>
  <c r="AA29" i="3"/>
  <c r="AA28" i="3"/>
  <c r="AA15" i="3"/>
  <c r="AA14" i="3"/>
  <c r="AA24" i="3"/>
  <c r="AA16" i="3"/>
  <c r="AA23" i="3"/>
  <c r="AA9" i="3"/>
  <c r="AA20" i="3"/>
  <c r="AA26" i="3"/>
  <c r="N6" i="3"/>
  <c r="Y30" i="3"/>
  <c r="F12" i="3" s="1"/>
  <c r="P15" i="3"/>
  <c r="AB15" i="3" s="1"/>
  <c r="O18" i="3"/>
  <c r="T18" i="3" s="1"/>
  <c r="O22" i="3"/>
  <c r="T22" i="3" s="1"/>
  <c r="P14" i="3"/>
  <c r="AB14" i="3" s="1"/>
  <c r="O27" i="3"/>
  <c r="T27" i="3" s="1"/>
  <c r="P28" i="3"/>
  <c r="AB28" i="3" s="1"/>
  <c r="O25" i="3"/>
  <c r="T25" i="3" s="1"/>
  <c r="P16" i="3"/>
  <c r="AB16" i="3" s="1"/>
  <c r="O17" i="3"/>
  <c r="T17" i="3" s="1"/>
  <c r="O12" i="3"/>
  <c r="T12" i="3" s="1"/>
  <c r="P23" i="3"/>
  <c r="AB23" i="3" s="1"/>
  <c r="P29" i="3"/>
  <c r="AB29" i="3" s="1"/>
  <c r="P9" i="3"/>
  <c r="AB9" i="3" s="1"/>
  <c r="O13" i="3"/>
  <c r="T13" i="3" s="1"/>
  <c r="O10" i="3"/>
  <c r="T10" i="3" s="1"/>
  <c r="O11" i="3"/>
  <c r="T11" i="3" s="1"/>
  <c r="O21" i="3"/>
  <c r="T21" i="3" s="1"/>
  <c r="O8" i="3"/>
  <c r="T8" i="3" s="1"/>
  <c r="P20" i="3"/>
  <c r="AB20" i="3" s="1"/>
  <c r="P24" i="3"/>
  <c r="AB24" i="3" s="1"/>
  <c r="P26" i="3"/>
  <c r="AB26" i="3" s="1"/>
  <c r="O7" i="3"/>
  <c r="T7" i="3" s="1"/>
  <c r="Z6" i="3" l="1"/>
  <c r="S6" i="3"/>
  <c r="AA7" i="3"/>
  <c r="AA21" i="3"/>
  <c r="AA8" i="3"/>
  <c r="AA13" i="3"/>
  <c r="AA12" i="3"/>
  <c r="AA18" i="3"/>
  <c r="AA17" i="3"/>
  <c r="AA27" i="3"/>
  <c r="AA11" i="3"/>
  <c r="AA10" i="3"/>
  <c r="AA25" i="3"/>
  <c r="AA22" i="3"/>
  <c r="P21" i="3"/>
  <c r="AB21" i="3" s="1"/>
  <c r="P17" i="3"/>
  <c r="AB17" i="3" s="1"/>
  <c r="P25" i="3"/>
  <c r="AB25" i="3" s="1"/>
  <c r="P22" i="3"/>
  <c r="AB22" i="3" s="1"/>
  <c r="P10" i="3"/>
  <c r="AB10" i="3" s="1"/>
  <c r="P27" i="3"/>
  <c r="AB27" i="3" s="1"/>
  <c r="P7" i="3"/>
  <c r="AB7" i="3" s="1"/>
  <c r="P8" i="3"/>
  <c r="AB8" i="3" s="1"/>
  <c r="P11" i="3"/>
  <c r="AB11" i="3" s="1"/>
  <c r="P13" i="3"/>
  <c r="AB13" i="3" s="1"/>
  <c r="P12" i="3"/>
  <c r="AB12" i="3" s="1"/>
  <c r="P18" i="3"/>
  <c r="AB18" i="3" s="1"/>
  <c r="O6" i="3"/>
  <c r="Z30" i="3"/>
  <c r="F13" i="3" s="1"/>
  <c r="AA6" i="3" l="1"/>
  <c r="T6" i="3"/>
  <c r="P6" i="3"/>
  <c r="AA30" i="3"/>
  <c r="F14" i="3" s="1"/>
  <c r="AB6" i="3" l="1"/>
  <c r="AB30" i="3" s="1"/>
  <c r="F15" i="3" s="1"/>
  <c r="F1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Ehleringer</author>
  </authors>
  <commentList>
    <comment ref="C7" authorId="0" shapeId="0" xr:uid="{00000000-0006-0000-0000-000001000000}">
      <text>
        <r>
          <rPr>
            <sz val="9"/>
            <color rgb="FF000000"/>
            <rFont val="Times New Roman"/>
            <family val="2"/>
          </rPr>
          <t xml:space="preserve">Suggested latitude values:
</t>
        </r>
        <r>
          <rPr>
            <sz val="9"/>
            <color rgb="FF000000"/>
            <rFont val="Times New Roman"/>
            <family val="2"/>
          </rPr>
          <t xml:space="preserve">0  Manaus, Brazil
</t>
        </r>
        <r>
          <rPr>
            <sz val="9"/>
            <color rgb="FF000000"/>
            <rFont val="Times New Roman"/>
            <family val="2"/>
          </rPr>
          <t xml:space="preserve">10  Caracas, Venezuela
</t>
        </r>
        <r>
          <rPr>
            <sz val="9"/>
            <color rgb="FF000000"/>
            <rFont val="Times New Roman"/>
            <family val="2"/>
          </rPr>
          <t xml:space="preserve">20  Veracruz, Mexico
</t>
        </r>
        <r>
          <rPr>
            <sz val="9"/>
            <color rgb="FF000000"/>
            <rFont val="Times New Roman"/>
            <family val="2"/>
          </rPr>
          <t xml:space="preserve">30  Austin, Texas
</t>
        </r>
        <r>
          <rPr>
            <sz val="9"/>
            <color rgb="FF000000"/>
            <rFont val="Times New Roman"/>
            <family val="2"/>
          </rPr>
          <t xml:space="preserve">41 Salt Lake City
</t>
        </r>
        <r>
          <rPr>
            <sz val="9"/>
            <color rgb="FF000000"/>
            <rFont val="Times New Roman"/>
            <family val="2"/>
          </rPr>
          <t xml:space="preserve">50  Calgary, Canada
</t>
        </r>
        <r>
          <rPr>
            <sz val="9"/>
            <color rgb="FF000000"/>
            <rFont val="Times New Roman"/>
            <family val="2"/>
          </rPr>
          <t>60  Churchill, Canada</t>
        </r>
      </text>
    </comment>
    <comment ref="C8" authorId="0" shapeId="0" xr:uid="{00000000-0006-0000-0000-000004000000}">
      <text>
        <r>
          <rPr>
            <sz val="9"/>
            <color rgb="FF000000"/>
            <rFont val="Times New Roman"/>
            <family val="2"/>
          </rPr>
          <t xml:space="preserve">Solar declination varies over the course of the year:
</t>
        </r>
        <r>
          <rPr>
            <sz val="9"/>
            <color rgb="FF000000"/>
            <rFont val="Times New Roman"/>
            <family val="2"/>
          </rPr>
          <t xml:space="preserve">     -23.5 degrees on the winter solstice (December 21)
</t>
        </r>
        <r>
          <rPr>
            <sz val="9"/>
            <color rgb="FF000000"/>
            <rFont val="Times New Roman"/>
            <family val="2"/>
          </rPr>
          <t xml:space="preserve">        0 one the equinox - spring (March 21) and Autumn (September 21)
</t>
        </r>
        <r>
          <rPr>
            <sz val="9"/>
            <color rgb="FF000000"/>
            <rFont val="Times New Roman"/>
            <family val="2"/>
          </rPr>
          <t xml:space="preserve">    +23.5 on the summer solstice (june 21)</t>
        </r>
      </text>
    </comment>
  </commentList>
</comments>
</file>

<file path=xl/sharedStrings.xml><?xml version="1.0" encoding="utf-8"?>
<sst xmlns="http://schemas.openxmlformats.org/spreadsheetml/2006/main" count="1337" uniqueCount="104">
  <si>
    <t>line</t>
  </si>
  <si>
    <t>adjust X</t>
  </si>
  <si>
    <t>calculate Y</t>
  </si>
  <si>
    <t>calculate z</t>
  </si>
  <si>
    <t>calculate zz</t>
  </si>
  <si>
    <t>calculate X</t>
  </si>
  <si>
    <t>calculate H</t>
  </si>
  <si>
    <t>input hour</t>
  </si>
  <si>
    <t>calculate k</t>
  </si>
  <si>
    <t>input latitude, degrees</t>
  </si>
  <si>
    <t>input slope, degrees, angle</t>
  </si>
  <si>
    <t>input solar decination, M</t>
  </si>
  <si>
    <t>input transmission coefficient, G</t>
  </si>
  <si>
    <t>input % diffuse beam, diffuse</t>
  </si>
  <si>
    <t>calculate CN</t>
  </si>
  <si>
    <t>a 1080</t>
  </si>
  <si>
    <t>a 2352</t>
  </si>
  <si>
    <t>a 2372</t>
  </si>
  <si>
    <t>convert latitude, l</t>
  </si>
  <si>
    <t>convert declination, M</t>
  </si>
  <si>
    <t>convert angle, angle</t>
  </si>
  <si>
    <t>a 2412</t>
  </si>
  <si>
    <t>input azimuth, aslop, degrees</t>
  </si>
  <si>
    <t>convert azimuth, aslop</t>
  </si>
  <si>
    <t>a 2432</t>
  </si>
  <si>
    <t>calc cos(i), c</t>
  </si>
  <si>
    <t>modify CN based on zz</t>
  </si>
  <si>
    <t>modify z</t>
  </si>
  <si>
    <t>further modify z</t>
  </si>
  <si>
    <t>calculate ZSUN, ZSUN</t>
  </si>
  <si>
    <t>modify c</t>
  </si>
  <si>
    <t>further modify c</t>
  </si>
  <si>
    <t>a 1160</t>
  </si>
  <si>
    <t>S direct</t>
  </si>
  <si>
    <t>S diffuse</t>
  </si>
  <si>
    <t>modify solar direct, solardirect</t>
  </si>
  <si>
    <t>calculate solar direct, solardirect</t>
  </si>
  <si>
    <t>modify solar diffuse, solardiffuse</t>
  </si>
  <si>
    <t xml:space="preserve">calculate solar diffuse, solardiffuse </t>
  </si>
  <si>
    <t>calculate solar as PFD µmol m-2 s-1</t>
  </si>
  <si>
    <t>Latitude, degrees</t>
  </si>
  <si>
    <t>Cloudiness, percent</t>
  </si>
  <si>
    <t>Hour</t>
  </si>
  <si>
    <t xml:space="preserve">Calculations of the hourly PFD incident on </t>
  </si>
  <si>
    <t>a leaf or a slope over the course of a day</t>
  </si>
  <si>
    <t>Direct</t>
  </si>
  <si>
    <t>Diffuse</t>
  </si>
  <si>
    <r>
      <t>mol m</t>
    </r>
    <r>
      <rPr>
        <vertAlign val="superscript"/>
        <sz val="11"/>
        <color rgb="FF0000FF"/>
        <rFont val="Arial"/>
        <family val="2"/>
      </rPr>
      <t>-2</t>
    </r>
    <r>
      <rPr>
        <sz val="11"/>
        <color rgb="FF0000FF"/>
        <rFont val="Arial"/>
        <family val="2"/>
      </rPr>
      <t xml:space="preserve"> day</t>
    </r>
    <r>
      <rPr>
        <vertAlign val="superscript"/>
        <sz val="11"/>
        <color rgb="FF0000FF"/>
        <rFont val="Arial"/>
        <family val="2"/>
      </rPr>
      <t>-1</t>
    </r>
  </si>
  <si>
    <t>further modify ZSUN</t>
  </si>
  <si>
    <t>further modify solar direct, solardirect</t>
  </si>
  <si>
    <t>Solar declination, degrees</t>
  </si>
  <si>
    <t>Total</t>
  </si>
  <si>
    <t>Calculate daylength</t>
  </si>
  <si>
    <t>tan lat</t>
  </si>
  <si>
    <t>tan dec</t>
  </si>
  <si>
    <t>cos h</t>
  </si>
  <si>
    <t>h in radians</t>
  </si>
  <si>
    <t>convert h back to degrees</t>
  </si>
  <si>
    <t>what is daylength in hours</t>
  </si>
  <si>
    <t>Choose inputs in yellow-colored cells:</t>
  </si>
  <si>
    <t>Daily PFD</t>
  </si>
  <si>
    <t>does value exceeed bounds</t>
  </si>
  <si>
    <t>50%  reflected to space</t>
  </si>
  <si>
    <t xml:space="preserve">   Top 1/4 canopy</t>
  </si>
  <si>
    <t xml:space="preserve">   Second 1/4 canopy</t>
  </si>
  <si>
    <t xml:space="preserve">   Third 1/4 canopy</t>
  </si>
  <si>
    <t xml:space="preserve">   Bottom 1/4 canopy</t>
  </si>
  <si>
    <r>
      <t>Instantaneous PFD, µmol photons m</t>
    </r>
    <r>
      <rPr>
        <vertAlign val="superscript"/>
        <sz val="12"/>
        <color rgb="FF3107C2"/>
        <rFont val="Arial"/>
        <family val="2"/>
      </rPr>
      <t>-2</t>
    </r>
    <r>
      <rPr>
        <sz val="12"/>
        <color rgb="FF3107C2"/>
        <rFont val="Arial"/>
        <family val="2"/>
      </rPr>
      <t xml:space="preserve"> s</t>
    </r>
    <r>
      <rPr>
        <vertAlign val="superscript"/>
        <sz val="12"/>
        <color rgb="FF3107C2"/>
        <rFont val="Arial"/>
        <family val="2"/>
      </rPr>
      <t>-1</t>
    </r>
  </si>
  <si>
    <t>LAI</t>
  </si>
  <si>
    <t>leaf angle</t>
  </si>
  <si>
    <t>Choose canopy profile</t>
  </si>
  <si>
    <t>exp 1/4</t>
  </si>
  <si>
    <t>exp 2/4</t>
  </si>
  <si>
    <t>exp 3/4</t>
  </si>
  <si>
    <t>exp 4/4</t>
  </si>
  <si>
    <t>A</t>
  </si>
  <si>
    <t>layer 1</t>
  </si>
  <si>
    <t>layer 2</t>
  </si>
  <si>
    <t>layer 3</t>
  </si>
  <si>
    <t>layer 4</t>
  </si>
  <si>
    <t>dark resp</t>
  </si>
  <si>
    <t>PFD</t>
  </si>
  <si>
    <t>Amax</t>
  </si>
  <si>
    <t>I @ half max</t>
  </si>
  <si>
    <t>Maximum photosynthesis</t>
  </si>
  <si>
    <t>Dark respiration</t>
  </si>
  <si>
    <t xml:space="preserve">total </t>
  </si>
  <si>
    <t xml:space="preserve">per level </t>
  </si>
  <si>
    <t xml:space="preserve">modeled A </t>
  </si>
  <si>
    <t>input cells in yellow</t>
  </si>
  <si>
    <t>output cells in blue</t>
  </si>
  <si>
    <t>Choose photosynthesis parameters</t>
  </si>
  <si>
    <t>PFD 1 leaf</t>
  </si>
  <si>
    <t>PFD leaf 2</t>
  </si>
  <si>
    <t>PFD leaf 3</t>
  </si>
  <si>
    <t>PFD leaf 4</t>
  </si>
  <si>
    <t>PFD after layer 1</t>
  </si>
  <si>
    <t>PFD after layer 2</t>
  </si>
  <si>
    <t>PFD after layer 3</t>
  </si>
  <si>
    <t>PFD after layer 4</t>
  </si>
  <si>
    <t>Total PFD @ top</t>
  </si>
  <si>
    <t>Solar direct @ top</t>
  </si>
  <si>
    <t>Solar diffuse @ top</t>
  </si>
  <si>
    <r>
      <t>photosynthesis, µmol photons m</t>
    </r>
    <r>
      <rPr>
        <vertAlign val="superscript"/>
        <sz val="12"/>
        <color rgb="FF3107C2"/>
        <rFont val="Arial"/>
        <family val="2"/>
      </rPr>
      <t>-2</t>
    </r>
    <r>
      <rPr>
        <sz val="12"/>
        <color rgb="FF3107C2"/>
        <rFont val="Arial"/>
        <family val="2"/>
      </rPr>
      <t xml:space="preserve"> s</t>
    </r>
    <r>
      <rPr>
        <vertAlign val="superscript"/>
        <sz val="12"/>
        <color rgb="FF3107C2"/>
        <rFont val="Arial"/>
        <family val="2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</si>
</sst>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7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11"/>
      <color rgb="FF0000FF"/>
      <name val="Times New Roman"/>
      <family val="1"/>
    </font>
    <font>
      <vertAlign val="superscript"/>
      <sz val="11"/>
      <color rgb="FF0000FF"/>
      <name val="Arial"/>
      <family val="2"/>
    </font>
    <font>
      <sz val="10"/>
      <color rgb="FF0000FF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70C0"/>
      <name val="Arial"/>
      <family val="2"/>
    </font>
    <font>
      <sz val="12"/>
      <color rgb="FF3107C2"/>
      <name val="Arial"/>
      <family val="2"/>
    </font>
    <font>
      <vertAlign val="superscript"/>
      <sz val="12"/>
      <color rgb="FF3107C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4" xfId="0" applyFont="1" applyBorder="1"/>
    <xf numFmtId="0" fontId="3" fillId="0" borderId="5" xfId="0" applyFont="1" applyBorder="1"/>
    <xf numFmtId="0" fontId="4" fillId="0" borderId="7" xfId="0" applyFont="1" applyBorder="1"/>
    <xf numFmtId="3" fontId="6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/>
    <xf numFmtId="3" fontId="0" fillId="3" borderId="12" xfId="0" applyNumberFormat="1" applyFill="1" applyBorder="1" applyAlignment="1">
      <alignment horizontal="center" vertical="center"/>
    </xf>
    <xf numFmtId="2" fontId="0" fillId="0" borderId="0" xfId="0" applyNumberFormat="1"/>
    <xf numFmtId="0" fontId="6" fillId="0" borderId="11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166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2" borderId="1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/>
    <xf numFmtId="0" fontId="15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colors>
    <mruColors>
      <color rgb="FF3107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3107C2"/>
                </a:solidFill>
              </a:defRPr>
            </a:pPr>
            <a:r>
              <a:rPr lang="en-US" sz="1200" b="0">
                <a:solidFill>
                  <a:srgbClr val="3107C2"/>
                </a:solidFill>
              </a:rPr>
              <a:t>PFD canopy profile</a:t>
            </a:r>
          </a:p>
          <a:p>
            <a:pPr>
              <a:defRPr sz="1200">
                <a:solidFill>
                  <a:srgbClr val="3107C2"/>
                </a:solidFill>
              </a:defRPr>
            </a:pPr>
            <a:r>
              <a:rPr lang="en-US" sz="1200" b="0">
                <a:solidFill>
                  <a:srgbClr val="3107C2"/>
                </a:solidFill>
              </a:rPr>
              <a:t>at noon</a:t>
            </a:r>
          </a:p>
        </c:rich>
      </c:tx>
      <c:layout>
        <c:manualLayout>
          <c:xMode val="edge"/>
          <c:yMode val="edge"/>
          <c:x val="0.40956005926723349"/>
          <c:y val="8.13523556039505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92812429692205"/>
          <c:y val="0.146666705161865"/>
          <c:w val="0.61018110329220654"/>
          <c:h val="0.66743638312426146"/>
        </c:manualLayout>
      </c:layout>
      <c:scatterChart>
        <c:scatterStyle val="smoothMarker"/>
        <c:varyColors val="0"/>
        <c:ser>
          <c:idx val="2"/>
          <c:order val="0"/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Inputs!$M$4:$P$4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Inputs!$L$18:$O$18</c:f>
              <c:numCache>
                <c:formatCode>#,##0</c:formatCode>
                <c:ptCount val="4"/>
                <c:pt idx="0">
                  <c:v>2143.3454137796548</c:v>
                </c:pt>
                <c:pt idx="1">
                  <c:v>1059.2895210800709</c:v>
                </c:pt>
                <c:pt idx="2">
                  <c:v>523.52471153555382</c:v>
                </c:pt>
                <c:pt idx="3">
                  <c:v>258.73768987059344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27-504A-807E-5DE9DB7E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317272"/>
        <c:axId val="2073467176"/>
      </c:scatterChart>
      <c:valAx>
        <c:axId val="2073317272"/>
        <c:scaling>
          <c:orientation val="minMax"/>
          <c:max val="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/>
                  <a:t>Depth into canopy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3467176"/>
        <c:crosses val="autoZero"/>
        <c:crossBetween val="midCat"/>
        <c:majorUnit val="1"/>
        <c:minorUnit val="1"/>
      </c:valAx>
      <c:valAx>
        <c:axId val="2073467176"/>
        <c:scaling>
          <c:orientation val="minMax"/>
          <c:max val="2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PFD (400-700 nm), µmol m</a:t>
                </a:r>
                <a:r>
                  <a:rPr lang="en-US" sz="1200" b="0" baseline="30000"/>
                  <a:t>-2</a:t>
                </a:r>
                <a:r>
                  <a:rPr lang="en-US" sz="1200" b="0"/>
                  <a:t> </a:t>
                </a:r>
                <a:r>
                  <a:rPr lang="en-US" sz="1200" b="0" baseline="0"/>
                  <a:t>s-</a:t>
                </a:r>
                <a:r>
                  <a:rPr lang="en-US" sz="1200" b="0" baseline="30000"/>
                  <a:t>1</a:t>
                </a:r>
              </a:p>
            </c:rich>
          </c:tx>
          <c:layout>
            <c:manualLayout>
              <c:xMode val="edge"/>
              <c:yMode val="edge"/>
              <c:x val="6.2651111699427955E-2"/>
              <c:y val="0.1342632038689620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073317272"/>
        <c:crosses val="autoZero"/>
        <c:crossBetween val="midCat"/>
        <c:majorUnit val="4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3107C2"/>
                </a:solidFill>
              </a:defRPr>
            </a:pPr>
            <a:r>
              <a:rPr lang="en-US" sz="1200" b="0">
                <a:solidFill>
                  <a:srgbClr val="3107C2"/>
                </a:solidFill>
              </a:rPr>
              <a:t>photosynthesis</a:t>
            </a:r>
          </a:p>
          <a:p>
            <a:pPr>
              <a:defRPr sz="1200">
                <a:solidFill>
                  <a:srgbClr val="3107C2"/>
                </a:solidFill>
              </a:defRPr>
            </a:pPr>
            <a:r>
              <a:rPr lang="en-US" sz="1200" b="0">
                <a:solidFill>
                  <a:srgbClr val="3107C2"/>
                </a:solidFill>
              </a:rPr>
              <a:t>profile at noon</a:t>
            </a:r>
          </a:p>
        </c:rich>
      </c:tx>
      <c:layout>
        <c:manualLayout>
          <c:xMode val="edge"/>
          <c:yMode val="edge"/>
          <c:x val="0.43053900796500633"/>
          <c:y val="8.13523556039505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92812429692205"/>
          <c:y val="0.146666705161865"/>
          <c:w val="0.61018110329220654"/>
          <c:h val="0.66743638312426146"/>
        </c:manualLayout>
      </c:layout>
      <c:scatterChart>
        <c:scatterStyle val="smoothMarker"/>
        <c:varyColors val="0"/>
        <c:ser>
          <c:idx val="2"/>
          <c:order val="0"/>
          <c:tx>
            <c:v>profile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Inputs!$M$4:$P$4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Inputs!$Y$17:$AB$17</c:f>
              <c:numCache>
                <c:formatCode>0.0</c:formatCode>
                <c:ptCount val="4"/>
                <c:pt idx="0">
                  <c:v>45.8131861732478</c:v>
                </c:pt>
                <c:pt idx="1">
                  <c:v>38.679072706345401</c:v>
                </c:pt>
                <c:pt idx="2">
                  <c:v>19.512396580940674</c:v>
                </c:pt>
                <c:pt idx="3">
                  <c:v>18.622339048613338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D-484C-8F8F-704A670E7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317272"/>
        <c:axId val="2073467176"/>
      </c:scatterChart>
      <c:valAx>
        <c:axId val="2073317272"/>
        <c:scaling>
          <c:orientation val="minMax"/>
          <c:max val="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/>
                  <a:t>Depth into canopy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3467176"/>
        <c:crosses val="autoZero"/>
        <c:crossBetween val="midCat"/>
        <c:majorUnit val="1"/>
        <c:minorUnit val="1"/>
      </c:valAx>
      <c:valAx>
        <c:axId val="207346717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LAI</a:t>
                </a:r>
                <a:r>
                  <a:rPr lang="en-US" sz="1200" b="0" baseline="0"/>
                  <a:t> weighted n</a:t>
                </a:r>
                <a:r>
                  <a:rPr lang="en-US" sz="1200" b="0"/>
                  <a:t>et</a:t>
                </a:r>
                <a:r>
                  <a:rPr lang="en-US" sz="1200" b="0" baseline="0"/>
                  <a:t> photosynthesis by canopy layer</a:t>
                </a:r>
                <a:r>
                  <a:rPr lang="en-US" sz="1200" b="0"/>
                  <a:t>, µmol m</a:t>
                </a:r>
                <a:r>
                  <a:rPr lang="en-US" sz="1200" b="0" baseline="30000"/>
                  <a:t>-2</a:t>
                </a:r>
                <a:r>
                  <a:rPr lang="en-US" sz="1200" b="0"/>
                  <a:t> </a:t>
                </a:r>
                <a:r>
                  <a:rPr lang="en-US" sz="1200" b="0" baseline="0"/>
                  <a:t>s-</a:t>
                </a:r>
                <a:r>
                  <a:rPr lang="en-US" sz="1200" b="0" baseline="30000"/>
                  <a:t>1</a:t>
                </a:r>
              </a:p>
            </c:rich>
          </c:tx>
          <c:layout>
            <c:manualLayout>
              <c:xMode val="edge"/>
              <c:yMode val="edge"/>
              <c:x val="3.6427504483852138E-2"/>
              <c:y val="0.1342632038689620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733172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'photosynthesis model'!$B$3:$B$23</c:f>
              <c:numCache>
                <c:formatCode>General</c:formatCode>
                <c:ptCount val="2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</c:numCache>
            </c:numRef>
          </c:xVal>
          <c:yVal>
            <c:numRef>
              <c:f>'photosynthesis model'!$C$3:$C$23</c:f>
              <c:numCache>
                <c:formatCode>0.0</c:formatCode>
                <c:ptCount val="21"/>
                <c:pt idx="0">
                  <c:v>-3</c:v>
                </c:pt>
                <c:pt idx="1">
                  <c:v>5</c:v>
                </c:pt>
                <c:pt idx="2">
                  <c:v>10.333333333333334</c:v>
                </c:pt>
                <c:pt idx="3">
                  <c:v>14.142857142857142</c:v>
                </c:pt>
                <c:pt idx="4">
                  <c:v>17</c:v>
                </c:pt>
                <c:pt idx="5">
                  <c:v>19.222222222222221</c:v>
                </c:pt>
                <c:pt idx="6">
                  <c:v>21</c:v>
                </c:pt>
                <c:pt idx="7">
                  <c:v>22.454545454545453</c:v>
                </c:pt>
                <c:pt idx="8">
                  <c:v>23.666666666666668</c:v>
                </c:pt>
                <c:pt idx="9">
                  <c:v>24.692307692307693</c:v>
                </c:pt>
                <c:pt idx="10">
                  <c:v>25.571428571428573</c:v>
                </c:pt>
                <c:pt idx="11">
                  <c:v>26.333333333333332</c:v>
                </c:pt>
                <c:pt idx="12">
                  <c:v>27</c:v>
                </c:pt>
                <c:pt idx="13">
                  <c:v>27.588235294117649</c:v>
                </c:pt>
                <c:pt idx="14">
                  <c:v>28.111111111111111</c:v>
                </c:pt>
                <c:pt idx="15">
                  <c:v>28.578947368421051</c:v>
                </c:pt>
                <c:pt idx="16">
                  <c:v>29</c:v>
                </c:pt>
                <c:pt idx="17">
                  <c:v>29.38095238095238</c:v>
                </c:pt>
                <c:pt idx="18">
                  <c:v>29.727272727272727</c:v>
                </c:pt>
                <c:pt idx="19">
                  <c:v>30.043478260869563</c:v>
                </c:pt>
                <c:pt idx="20">
                  <c:v>30.333333333333336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CE-6D4E-BA3E-07F6A42DC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012800"/>
        <c:axId val="2020014480"/>
      </c:scatterChart>
      <c:valAx>
        <c:axId val="202001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0014480"/>
        <c:crosses val="autoZero"/>
        <c:crossBetween val="midCat"/>
      </c:valAx>
      <c:valAx>
        <c:axId val="202001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0012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59267</xdr:colOff>
      <xdr:row>18</xdr:row>
      <xdr:rowOff>152401</xdr:rowOff>
    </xdr:from>
    <xdr:to>
      <xdr:col>2</xdr:col>
      <xdr:colOff>279400</xdr:colOff>
      <xdr:row>34</xdr:row>
      <xdr:rowOff>67735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347133</xdr:colOff>
      <xdr:row>18</xdr:row>
      <xdr:rowOff>143934</xdr:rowOff>
    </xdr:from>
    <xdr:to>
      <xdr:col>6</xdr:col>
      <xdr:colOff>296334</xdr:colOff>
      <xdr:row>34</xdr:row>
      <xdr:rowOff>59268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AA9E45-8262-354D-9041-08BEEA2C6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839568</xdr:colOff>
      <xdr:row>5</xdr:row>
      <xdr:rowOff>16274</xdr:rowOff>
    </xdr:from>
    <xdr:to>
      <xdr:col>9</xdr:col>
      <xdr:colOff>278335</xdr:colOff>
      <xdr:row>18</xdr:row>
      <xdr:rowOff>90193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A0EA54-5B69-F34D-8287-04BD659B6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3"/>
  <sheetViews>
    <sheetView tabSelected="1" topLeftCell="A2" zoomScale="142" zoomScaleNormal="142" zoomScalePageLayoutView="150" workbookViewId="0">
      <selection activeCell="C7" sqref="C7"/>
    </sheetView>
  </sheetViews>
  <sheetFormatPr baseColWidth="10" defaultRowHeight="16" x14ac:dyDescent="0.2"/>
  <cols>
    <col min="1" max="1" width="2.1640625" customWidth="1"/>
    <col min="2" max="2" width="25.5" style="19" customWidth="1"/>
    <col min="3" max="3" width="8.83203125" style="19" customWidth="1"/>
    <col min="4" max="4" width="9.83203125" style="19" customWidth="1"/>
    <col min="5" max="6" width="7.6640625" style="19" customWidth="1"/>
    <col min="7" max="7" width="4.6640625" style="19" customWidth="1"/>
    <col min="8" max="8" width="6" style="19" customWidth="1"/>
    <col min="9" max="9" width="6" style="20" customWidth="1"/>
    <col min="10" max="11" width="9.83203125" style="20" customWidth="1"/>
    <col min="12" max="12" width="9.1640625" style="20" customWidth="1"/>
    <col min="13" max="13" width="7.83203125" style="20" customWidth="1"/>
    <col min="14" max="14" width="7.83203125" style="47" customWidth="1"/>
    <col min="15" max="16" width="10.5" style="47" customWidth="1"/>
    <col min="17" max="17" width="10" style="47" hidden="1" customWidth="1"/>
    <col min="18" max="20" width="10.5" style="47" hidden="1" customWidth="1"/>
    <col min="21" max="24" width="10.5" style="55" hidden="1" customWidth="1"/>
    <col min="25" max="25" width="10.5" style="47" customWidth="1"/>
    <col min="26" max="28" width="8.5" style="47" customWidth="1"/>
    <col min="29" max="29" width="10.83203125" style="47"/>
    <col min="30" max="30" width="10.83203125" style="55"/>
  </cols>
  <sheetData>
    <row r="1" spans="2:28" x14ac:dyDescent="0.2">
      <c r="B1" s="66" t="s">
        <v>89</v>
      </c>
      <c r="C1" s="67" t="s">
        <v>90</v>
      </c>
      <c r="D1" s="68"/>
      <c r="I1" s="54"/>
      <c r="J1" s="54"/>
      <c r="K1" s="54"/>
      <c r="L1" s="54"/>
      <c r="M1" s="54"/>
    </row>
    <row r="2" spans="2:28" ht="9" customHeight="1" x14ac:dyDescent="0.2"/>
    <row r="3" spans="2:28" ht="18" x14ac:dyDescent="0.2">
      <c r="B3" s="23" t="s">
        <v>43</v>
      </c>
      <c r="C3" s="24"/>
      <c r="E3" s="79" t="s">
        <v>60</v>
      </c>
      <c r="F3" s="80"/>
      <c r="G3" s="28"/>
      <c r="H3" s="28"/>
      <c r="J3" s="46"/>
      <c r="K3" s="46"/>
      <c r="L3" s="76" t="s">
        <v>67</v>
      </c>
      <c r="M3" s="76"/>
      <c r="N3" s="76"/>
      <c r="O3" s="76"/>
      <c r="P3" s="76"/>
      <c r="Q3" s="75"/>
      <c r="R3" s="75"/>
      <c r="S3" s="75"/>
      <c r="T3" s="75"/>
      <c r="Y3" s="83" t="s">
        <v>103</v>
      </c>
    </row>
    <row r="4" spans="2:28" x14ac:dyDescent="0.2">
      <c r="B4" s="25" t="s">
        <v>44</v>
      </c>
      <c r="C4" s="26"/>
      <c r="E4" s="81" t="s">
        <v>47</v>
      </c>
      <c r="F4" s="82"/>
      <c r="G4" s="28"/>
      <c r="H4" s="28"/>
      <c r="J4" s="46"/>
      <c r="K4" s="46"/>
      <c r="L4" s="49">
        <v>0</v>
      </c>
      <c r="M4" s="49">
        <v>1</v>
      </c>
      <c r="N4" s="51">
        <v>2</v>
      </c>
      <c r="O4" s="51">
        <v>3</v>
      </c>
      <c r="P4" s="51">
        <v>4</v>
      </c>
      <c r="Q4" s="51"/>
      <c r="R4" s="51"/>
      <c r="S4" s="51"/>
      <c r="T4" s="51"/>
      <c r="Y4" s="47" t="s">
        <v>75</v>
      </c>
      <c r="Z4" s="47" t="s">
        <v>75</v>
      </c>
      <c r="AA4" s="47" t="s">
        <v>75</v>
      </c>
      <c r="AB4" s="47" t="s">
        <v>75</v>
      </c>
    </row>
    <row r="5" spans="2:28" ht="25" customHeight="1" x14ac:dyDescent="0.2">
      <c r="E5" s="35" t="s">
        <v>45</v>
      </c>
      <c r="F5" s="36">
        <f>SUM(J6:J29)*60*60/10^6</f>
        <v>65.531700033779401</v>
      </c>
      <c r="G5" s="27"/>
      <c r="H5" s="27"/>
      <c r="I5" s="43" t="s">
        <v>42</v>
      </c>
      <c r="J5" s="44" t="s">
        <v>101</v>
      </c>
      <c r="K5" s="44" t="s">
        <v>102</v>
      </c>
      <c r="L5" s="44" t="s">
        <v>100</v>
      </c>
      <c r="M5" s="44" t="s">
        <v>96</v>
      </c>
      <c r="N5" s="44" t="s">
        <v>97</v>
      </c>
      <c r="O5" s="44" t="s">
        <v>98</v>
      </c>
      <c r="P5" s="44" t="s">
        <v>99</v>
      </c>
      <c r="Q5" s="44" t="s">
        <v>92</v>
      </c>
      <c r="R5" s="44" t="s">
        <v>93</v>
      </c>
      <c r="S5" s="44" t="s">
        <v>94</v>
      </c>
      <c r="T5" s="44" t="s">
        <v>95</v>
      </c>
      <c r="U5" s="45" t="s">
        <v>71</v>
      </c>
      <c r="V5" s="45" t="s">
        <v>72</v>
      </c>
      <c r="W5" s="45" t="s">
        <v>73</v>
      </c>
      <c r="X5" s="45" t="s">
        <v>74</v>
      </c>
      <c r="Y5" s="47" t="s">
        <v>76</v>
      </c>
      <c r="Z5" s="47" t="s">
        <v>77</v>
      </c>
      <c r="AA5" s="47" t="s">
        <v>78</v>
      </c>
      <c r="AB5" s="47" t="s">
        <v>79</v>
      </c>
    </row>
    <row r="6" spans="2:28" x14ac:dyDescent="0.2">
      <c r="B6" s="21" t="s">
        <v>59</v>
      </c>
      <c r="E6" s="38" t="s">
        <v>46</v>
      </c>
      <c r="F6" s="39">
        <f>SUM(K6:K29)*60*60/10^6</f>
        <v>0</v>
      </c>
      <c r="G6" s="29"/>
      <c r="H6" s="29"/>
      <c r="I6" s="43">
        <v>1</v>
      </c>
      <c r="J6" s="40">
        <f>'Hour 1'!D2</f>
        <v>0</v>
      </c>
      <c r="K6" s="40">
        <f>'Hour 1'!E2</f>
        <v>0</v>
      </c>
      <c r="L6" s="40">
        <f>J6+K6</f>
        <v>0</v>
      </c>
      <c r="M6" s="40">
        <f t="shared" ref="M6:M29" si="0">L6*EXP(U6)</f>
        <v>0</v>
      </c>
      <c r="N6" s="48">
        <f t="shared" ref="N6:N29" si="1">M6*EXP(V6)</f>
        <v>0</v>
      </c>
      <c r="O6" s="48">
        <f t="shared" ref="O6:O29" si="2">N6*EXP(W6)</f>
        <v>0</v>
      </c>
      <c r="P6" s="48">
        <f t="shared" ref="P6:P29" si="3">O6*EXP(X6)</f>
        <v>0</v>
      </c>
      <c r="Q6" s="77">
        <f>COS(RADIANS($D$12))*L6</f>
        <v>0</v>
      </c>
      <c r="R6" s="78">
        <f>COS(RADIANS($D$13))*M6</f>
        <v>0</v>
      </c>
      <c r="S6" s="78">
        <f>COS(RADIANS($D$14))*N6</f>
        <v>0</v>
      </c>
      <c r="T6" s="78">
        <f>COS(RADIANS($D$15))*O6</f>
        <v>0</v>
      </c>
      <c r="U6" s="56">
        <f t="shared" ref="U6:U29" si="4">-0.5*$C$12*COS(RADIANS($D$12))</f>
        <v>-0.70476946558943132</v>
      </c>
      <c r="V6" s="57">
        <f t="shared" ref="V6:V29" si="5">-0.5*$C$13*COS(RADIANS($D$13))</f>
        <v>-0.70476946558943132</v>
      </c>
      <c r="W6" s="57">
        <f t="shared" ref="W6:W29" si="6">-0.5*$C$14*COS(RADIANS($D$14))</f>
        <v>-0.70476946558943132</v>
      </c>
      <c r="X6" s="57">
        <f t="shared" ref="X6:X29" si="7">-0.5*$C$15*COS(RADIANS($D$15))</f>
        <v>-0.70476946558943132</v>
      </c>
      <c r="Y6" s="59">
        <f t="shared" ref="Y6:Y29" si="8">((Q6*$C$17*4/3)/(Q6+400)-$C$18)*$C$12</f>
        <v>-4.5</v>
      </c>
      <c r="Z6" s="59">
        <f t="shared" ref="Z6:Z29" si="9">((R6*$C$17*4/3)/(R6+400)-$C$18)*$C$13</f>
        <v>-4.5</v>
      </c>
      <c r="AA6" s="59">
        <f>((S6*$C$17*4/3)/(O6+400)-$C$18)*$C$14</f>
        <v>-4.5</v>
      </c>
      <c r="AB6" s="59">
        <f>((T6*$C$17*4/3)/(T6+400)-$C$18)*$C$15</f>
        <v>-4.5</v>
      </c>
    </row>
    <row r="7" spans="2:28" x14ac:dyDescent="0.2">
      <c r="B7" s="19" t="s">
        <v>40</v>
      </c>
      <c r="C7" s="30">
        <v>40</v>
      </c>
      <c r="D7" s="69"/>
      <c r="E7" s="37" t="s">
        <v>51</v>
      </c>
      <c r="F7" s="41">
        <f>F5+F6</f>
        <v>65.531700033779401</v>
      </c>
      <c r="I7" s="43">
        <v>2</v>
      </c>
      <c r="J7" s="40">
        <f>'Hour 2'!D2</f>
        <v>0</v>
      </c>
      <c r="K7" s="40">
        <f>'Hour 2'!E2</f>
        <v>0</v>
      </c>
      <c r="L7" s="40">
        <f t="shared" ref="L7:L29" si="10">J7+K7</f>
        <v>0</v>
      </c>
      <c r="M7" s="40">
        <f t="shared" si="0"/>
        <v>0</v>
      </c>
      <c r="N7" s="48">
        <f t="shared" si="1"/>
        <v>0</v>
      </c>
      <c r="O7" s="48">
        <f t="shared" si="2"/>
        <v>0</v>
      </c>
      <c r="P7" s="48">
        <f t="shared" si="3"/>
        <v>0</v>
      </c>
      <c r="Q7" s="77">
        <f t="shared" ref="Q7:Q29" si="11">COS(RADIANS($D$12))*L7</f>
        <v>0</v>
      </c>
      <c r="R7" s="78">
        <f t="shared" ref="R7:R29" si="12">COS(RADIANS($D$13))*M7</f>
        <v>0</v>
      </c>
      <c r="S7" s="78">
        <f t="shared" ref="S7:S29" si="13">COS(RADIANS($D$14))*N7</f>
        <v>0</v>
      </c>
      <c r="T7" s="78">
        <f t="shared" ref="T7:T29" si="14">COS(RADIANS($D$15))*O7</f>
        <v>0</v>
      </c>
      <c r="U7" s="56">
        <f t="shared" si="4"/>
        <v>-0.70476946558943132</v>
      </c>
      <c r="V7" s="57">
        <f t="shared" si="5"/>
        <v>-0.70476946558943132</v>
      </c>
      <c r="W7" s="57">
        <f t="shared" si="6"/>
        <v>-0.70476946558943132</v>
      </c>
      <c r="X7" s="57">
        <f t="shared" si="7"/>
        <v>-0.70476946558943132</v>
      </c>
      <c r="Y7" s="59">
        <f t="shared" si="8"/>
        <v>-4.5</v>
      </c>
      <c r="Z7" s="59">
        <f t="shared" si="9"/>
        <v>-4.5</v>
      </c>
      <c r="AA7" s="59">
        <f t="shared" ref="AA7:AA29" si="15">((O7*$C$17*4/3)/(O7+400)-$C$18)*$C$14</f>
        <v>-4.5</v>
      </c>
      <c r="AB7" s="59">
        <f t="shared" ref="AB7:AB29" si="16">((T7*$C$17*4/3)/(T7+400)-$C$18)*$C$15</f>
        <v>-4.5</v>
      </c>
    </row>
    <row r="8" spans="2:28" x14ac:dyDescent="0.2">
      <c r="B8" s="19" t="s">
        <v>50</v>
      </c>
      <c r="C8" s="30">
        <v>20</v>
      </c>
      <c r="D8" s="69"/>
      <c r="E8" s="22"/>
      <c r="I8" s="43">
        <v>3</v>
      </c>
      <c r="J8" s="40">
        <f>'Hour 3'!D2</f>
        <v>0</v>
      </c>
      <c r="K8" s="40">
        <f>'Hour 3'!E2</f>
        <v>0</v>
      </c>
      <c r="L8" s="40">
        <f t="shared" si="10"/>
        <v>0</v>
      </c>
      <c r="M8" s="40">
        <f t="shared" si="0"/>
        <v>0</v>
      </c>
      <c r="N8" s="48">
        <f t="shared" si="1"/>
        <v>0</v>
      </c>
      <c r="O8" s="48">
        <f t="shared" si="2"/>
        <v>0</v>
      </c>
      <c r="P8" s="48">
        <f t="shared" si="3"/>
        <v>0</v>
      </c>
      <c r="Q8" s="77">
        <f t="shared" si="11"/>
        <v>0</v>
      </c>
      <c r="R8" s="78">
        <f t="shared" si="12"/>
        <v>0</v>
      </c>
      <c r="S8" s="78">
        <f t="shared" si="13"/>
        <v>0</v>
      </c>
      <c r="T8" s="78">
        <f t="shared" si="14"/>
        <v>0</v>
      </c>
      <c r="U8" s="56">
        <f t="shared" si="4"/>
        <v>-0.70476946558943132</v>
      </c>
      <c r="V8" s="57">
        <f t="shared" si="5"/>
        <v>-0.70476946558943132</v>
      </c>
      <c r="W8" s="57">
        <f t="shared" si="6"/>
        <v>-0.70476946558943132</v>
      </c>
      <c r="X8" s="57">
        <f t="shared" si="7"/>
        <v>-0.70476946558943132</v>
      </c>
      <c r="Y8" s="59">
        <f t="shared" si="8"/>
        <v>-4.5</v>
      </c>
      <c r="Z8" s="59">
        <f t="shared" si="9"/>
        <v>-4.5</v>
      </c>
      <c r="AA8" s="59">
        <f t="shared" si="15"/>
        <v>-4.5</v>
      </c>
      <c r="AB8" s="59">
        <f t="shared" si="16"/>
        <v>-4.5</v>
      </c>
    </row>
    <row r="9" spans="2:28" x14ac:dyDescent="0.2">
      <c r="B9" s="19" t="s">
        <v>41</v>
      </c>
      <c r="C9" s="30">
        <v>0</v>
      </c>
      <c r="D9" s="69"/>
      <c r="E9"/>
      <c r="F9"/>
      <c r="I9" s="43">
        <v>4</v>
      </c>
      <c r="J9" s="40">
        <f>'Hour 4'!D2</f>
        <v>0</v>
      </c>
      <c r="K9" s="40">
        <f>'Hour 4'!E2</f>
        <v>0</v>
      </c>
      <c r="L9" s="40">
        <f t="shared" si="10"/>
        <v>0</v>
      </c>
      <c r="M9" s="40">
        <f t="shared" si="0"/>
        <v>0</v>
      </c>
      <c r="N9" s="48">
        <f t="shared" si="1"/>
        <v>0</v>
      </c>
      <c r="O9" s="48">
        <f t="shared" si="2"/>
        <v>0</v>
      </c>
      <c r="P9" s="48">
        <f t="shared" si="3"/>
        <v>0</v>
      </c>
      <c r="Q9" s="77">
        <f t="shared" si="11"/>
        <v>0</v>
      </c>
      <c r="R9" s="78">
        <f t="shared" si="12"/>
        <v>0</v>
      </c>
      <c r="S9" s="78">
        <f t="shared" si="13"/>
        <v>0</v>
      </c>
      <c r="T9" s="78">
        <f t="shared" si="14"/>
        <v>0</v>
      </c>
      <c r="U9" s="56">
        <f t="shared" si="4"/>
        <v>-0.70476946558943132</v>
      </c>
      <c r="V9" s="57">
        <f t="shared" si="5"/>
        <v>-0.70476946558943132</v>
      </c>
      <c r="W9" s="57">
        <f t="shared" si="6"/>
        <v>-0.70476946558943132</v>
      </c>
      <c r="X9" s="57">
        <f t="shared" si="7"/>
        <v>-0.70476946558943132</v>
      </c>
      <c r="Y9" s="59">
        <f t="shared" si="8"/>
        <v>-4.5</v>
      </c>
      <c r="Z9" s="59">
        <f t="shared" si="9"/>
        <v>-4.5</v>
      </c>
      <c r="AA9" s="59">
        <f t="shared" si="15"/>
        <v>-4.5</v>
      </c>
      <c r="AB9" s="59">
        <f t="shared" si="16"/>
        <v>-4.5</v>
      </c>
    </row>
    <row r="10" spans="2:28" x14ac:dyDescent="0.2">
      <c r="C10" s="70"/>
      <c r="D10" s="71"/>
      <c r="E10" s="64"/>
      <c r="F10" s="65" t="s">
        <v>88</v>
      </c>
      <c r="I10" s="43">
        <v>5</v>
      </c>
      <c r="J10" s="40">
        <f>'Hour 5'!D2</f>
        <v>0.73711925590616878</v>
      </c>
      <c r="K10" s="40">
        <f>'Hour 5'!E2</f>
        <v>0</v>
      </c>
      <c r="L10" s="40">
        <f t="shared" si="10"/>
        <v>0.73711925590616878</v>
      </c>
      <c r="M10" s="40">
        <f t="shared" si="0"/>
        <v>0.36430091881028737</v>
      </c>
      <c r="N10" s="48">
        <f t="shared" si="1"/>
        <v>0.18004570954108068</v>
      </c>
      <c r="O10" s="48">
        <f t="shared" si="2"/>
        <v>8.8982640038391778E-2</v>
      </c>
      <c r="P10" s="48">
        <f t="shared" si="3"/>
        <v>4.3977222497464677E-2</v>
      </c>
      <c r="Q10" s="77">
        <f t="shared" si="11"/>
        <v>0.69266552541422644</v>
      </c>
      <c r="R10" s="78">
        <f t="shared" si="12"/>
        <v>0.34233088515155335</v>
      </c>
      <c r="S10" s="78">
        <f t="shared" si="13"/>
        <v>0.16918762465991655</v>
      </c>
      <c r="T10" s="78">
        <f t="shared" si="14"/>
        <v>8.3616330222125473E-2</v>
      </c>
      <c r="U10" s="56">
        <f t="shared" si="4"/>
        <v>-0.70476946558943132</v>
      </c>
      <c r="V10" s="57">
        <f t="shared" si="5"/>
        <v>-0.70476946558943132</v>
      </c>
      <c r="W10" s="57">
        <f t="shared" si="6"/>
        <v>-0.70476946558943132</v>
      </c>
      <c r="X10" s="57">
        <f t="shared" si="7"/>
        <v>-0.70476946558943132</v>
      </c>
      <c r="Y10" s="59">
        <f t="shared" si="8"/>
        <v>-4.3962797797400226</v>
      </c>
      <c r="Z10" s="59">
        <f t="shared" si="9"/>
        <v>-4.448694276061989</v>
      </c>
      <c r="AA10" s="59">
        <f t="shared" si="15"/>
        <v>-4.4866555725502018</v>
      </c>
      <c r="AB10" s="59">
        <f t="shared" si="16"/>
        <v>-4.4874601718027201</v>
      </c>
    </row>
    <row r="11" spans="2:28" x14ac:dyDescent="0.2">
      <c r="B11" s="50" t="s">
        <v>70</v>
      </c>
      <c r="C11" s="72" t="s">
        <v>68</v>
      </c>
      <c r="D11" s="73" t="s">
        <v>69</v>
      </c>
      <c r="E11" s="64"/>
      <c r="F11" s="61" t="s">
        <v>87</v>
      </c>
      <c r="I11" s="43">
        <v>6</v>
      </c>
      <c r="J11" s="40">
        <f>'Hour 6'!D2</f>
        <v>293.253539151658</v>
      </c>
      <c r="K11" s="40">
        <f>'Hour 6'!E2</f>
        <v>0</v>
      </c>
      <c r="L11" s="40">
        <f t="shared" si="10"/>
        <v>293.253539151658</v>
      </c>
      <c r="M11" s="40">
        <f t="shared" si="0"/>
        <v>144.93249620237404</v>
      </c>
      <c r="N11" s="48">
        <f t="shared" si="1"/>
        <v>71.628900084946864</v>
      </c>
      <c r="O11" s="48">
        <f t="shared" si="2"/>
        <v>35.400613815518199</v>
      </c>
      <c r="P11" s="48">
        <f t="shared" si="3"/>
        <v>17.495779734565886</v>
      </c>
      <c r="Q11" s="77">
        <f t="shared" si="11"/>
        <v>275.56818676016451</v>
      </c>
      <c r="R11" s="78">
        <f t="shared" si="12"/>
        <v>136.19199719345258</v>
      </c>
      <c r="S11" s="78">
        <f t="shared" si="13"/>
        <v>67.309148844835704</v>
      </c>
      <c r="T11" s="78">
        <f t="shared" si="14"/>
        <v>33.265695573734135</v>
      </c>
      <c r="U11" s="56">
        <f t="shared" si="4"/>
        <v>-0.70476946558943132</v>
      </c>
      <c r="V11" s="57">
        <f t="shared" si="5"/>
        <v>-0.70476946558943132</v>
      </c>
      <c r="W11" s="57">
        <f t="shared" si="6"/>
        <v>-0.70476946558943132</v>
      </c>
      <c r="X11" s="57">
        <f t="shared" si="7"/>
        <v>-0.70476946558943132</v>
      </c>
      <c r="Y11" s="59">
        <f t="shared" si="8"/>
        <v>19.974348451638512</v>
      </c>
      <c r="Z11" s="59">
        <f t="shared" si="9"/>
        <v>10.739913826350813</v>
      </c>
      <c r="AA11" s="59">
        <f t="shared" si="15"/>
        <v>0.3783505616072893</v>
      </c>
      <c r="AB11" s="59">
        <f t="shared" si="16"/>
        <v>0.10673843974885822</v>
      </c>
    </row>
    <row r="12" spans="2:28" x14ac:dyDescent="0.2">
      <c r="B12" s="19" t="s">
        <v>63</v>
      </c>
      <c r="C12" s="52">
        <v>1.5</v>
      </c>
      <c r="D12" s="74">
        <v>20</v>
      </c>
      <c r="F12" s="60">
        <f>Y30</f>
        <v>451.15071447717628</v>
      </c>
      <c r="I12" s="43">
        <v>7</v>
      </c>
      <c r="J12" s="40">
        <f>'Hour 7'!D2</f>
        <v>760.46671156305126</v>
      </c>
      <c r="K12" s="40">
        <f>'Hour 7'!E2</f>
        <v>0</v>
      </c>
      <c r="L12" s="40">
        <f t="shared" si="10"/>
        <v>760.46671156305126</v>
      </c>
      <c r="M12" s="40">
        <f t="shared" si="0"/>
        <v>375.83975662999484</v>
      </c>
      <c r="N12" s="48">
        <f t="shared" si="1"/>
        <v>185.74846277407644</v>
      </c>
      <c r="O12" s="48">
        <f t="shared" si="2"/>
        <v>91.801068977647645</v>
      </c>
      <c r="P12" s="48">
        <f t="shared" si="3"/>
        <v>45.370153483794951</v>
      </c>
      <c r="Q12" s="77">
        <f t="shared" si="11"/>
        <v>714.60495720912513</v>
      </c>
      <c r="R12" s="78">
        <f t="shared" si="12"/>
        <v>353.17384590317783</v>
      </c>
      <c r="S12" s="78">
        <f t="shared" si="13"/>
        <v>174.54645979112564</v>
      </c>
      <c r="T12" s="78">
        <f t="shared" si="14"/>
        <v>86.264787098553668</v>
      </c>
      <c r="U12" s="56">
        <f t="shared" si="4"/>
        <v>-0.70476946558943132</v>
      </c>
      <c r="V12" s="57">
        <f t="shared" si="5"/>
        <v>-0.70476946558943132</v>
      </c>
      <c r="W12" s="57">
        <f t="shared" si="6"/>
        <v>-0.70476946558943132</v>
      </c>
      <c r="X12" s="57">
        <f t="shared" si="7"/>
        <v>-0.70476946558943132</v>
      </c>
      <c r="Y12" s="59">
        <f t="shared" si="8"/>
        <v>33.967707464630394</v>
      </c>
      <c r="Z12" s="59">
        <f t="shared" si="9"/>
        <v>23.634846781329614</v>
      </c>
      <c r="AA12" s="59">
        <f t="shared" si="15"/>
        <v>6.6997807367702151</v>
      </c>
      <c r="AB12" s="59">
        <f t="shared" si="16"/>
        <v>6.1441744564658309</v>
      </c>
    </row>
    <row r="13" spans="2:28" x14ac:dyDescent="0.2">
      <c r="B13" s="19" t="s">
        <v>64</v>
      </c>
      <c r="C13" s="52">
        <v>1.5</v>
      </c>
      <c r="D13" s="74">
        <v>20</v>
      </c>
      <c r="F13" s="60">
        <f>Z30</f>
        <v>339.73778440571215</v>
      </c>
      <c r="I13" s="43">
        <v>8</v>
      </c>
      <c r="J13" s="40">
        <f>'Hour 8'!D2</f>
        <v>1223.7131468214975</v>
      </c>
      <c r="K13" s="40">
        <f>'Hour 8'!E2</f>
        <v>0</v>
      </c>
      <c r="L13" s="40">
        <f t="shared" si="10"/>
        <v>1223.7131468214975</v>
      </c>
      <c r="M13" s="40">
        <f t="shared" si="0"/>
        <v>604.7865663192598</v>
      </c>
      <c r="N13" s="48">
        <f t="shared" si="1"/>
        <v>298.89912660519508</v>
      </c>
      <c r="O13" s="48">
        <f t="shared" si="2"/>
        <v>147.72267252739627</v>
      </c>
      <c r="P13" s="48">
        <f t="shared" si="3"/>
        <v>73.007867993740319</v>
      </c>
      <c r="Q13" s="77">
        <f t="shared" si="11"/>
        <v>1149.9142140268641</v>
      </c>
      <c r="R13" s="78">
        <f t="shared" si="12"/>
        <v>568.31347352065586</v>
      </c>
      <c r="S13" s="78">
        <f t="shared" si="13"/>
        <v>280.87330363025484</v>
      </c>
      <c r="T13" s="78">
        <f t="shared" si="14"/>
        <v>138.81390529676753</v>
      </c>
      <c r="U13" s="56">
        <f t="shared" si="4"/>
        <v>-0.70476946558943132</v>
      </c>
      <c r="V13" s="57">
        <f t="shared" si="5"/>
        <v>-0.70476946558943132</v>
      </c>
      <c r="W13" s="57">
        <f t="shared" si="6"/>
        <v>-0.70476946558943132</v>
      </c>
      <c r="X13" s="57">
        <f t="shared" si="7"/>
        <v>-0.70476946558943132</v>
      </c>
      <c r="Y13" s="59">
        <f t="shared" si="8"/>
        <v>40.015272017768581</v>
      </c>
      <c r="Z13" s="59">
        <f t="shared" si="9"/>
        <v>30.714637969727647</v>
      </c>
      <c r="AA13" s="59">
        <f t="shared" si="15"/>
        <v>11.682204601363191</v>
      </c>
      <c r="AB13" s="59">
        <f t="shared" si="16"/>
        <v>10.957719698638257</v>
      </c>
    </row>
    <row r="14" spans="2:28" x14ac:dyDescent="0.2">
      <c r="B14" s="19" t="s">
        <v>65</v>
      </c>
      <c r="C14" s="52">
        <v>1.5</v>
      </c>
      <c r="D14" s="74">
        <v>20</v>
      </c>
      <c r="F14" s="60">
        <f>AA30</f>
        <v>111.63808694829251</v>
      </c>
      <c r="I14" s="43">
        <v>9</v>
      </c>
      <c r="J14" s="40">
        <f>'Hour 9'!D2</f>
        <v>1629.1570545437994</v>
      </c>
      <c r="K14" s="40">
        <f>'Hour 9'!E2</f>
        <v>0</v>
      </c>
      <c r="L14" s="40">
        <f t="shared" si="10"/>
        <v>1629.1570545437994</v>
      </c>
      <c r="M14" s="40">
        <f t="shared" si="0"/>
        <v>805.16606655045416</v>
      </c>
      <c r="N14" s="48">
        <f t="shared" si="1"/>
        <v>397.93118344005626</v>
      </c>
      <c r="O14" s="48">
        <f t="shared" si="2"/>
        <v>196.66654288153742</v>
      </c>
      <c r="P14" s="48">
        <f t="shared" si="3"/>
        <v>97.197029784427414</v>
      </c>
      <c r="Q14" s="77">
        <f t="shared" si="11"/>
        <v>1530.906862256114</v>
      </c>
      <c r="R14" s="78">
        <f t="shared" si="12"/>
        <v>756.60861124467738</v>
      </c>
      <c r="S14" s="78">
        <f t="shared" si="13"/>
        <v>373.93299665922456</v>
      </c>
      <c r="T14" s="78">
        <f t="shared" si="14"/>
        <v>184.80609910125614</v>
      </c>
      <c r="U14" s="56">
        <f t="shared" si="4"/>
        <v>-0.70476946558943132</v>
      </c>
      <c r="V14" s="57">
        <f t="shared" si="5"/>
        <v>-0.70476946558943132</v>
      </c>
      <c r="W14" s="57">
        <f t="shared" si="6"/>
        <v>-0.70476946558943132</v>
      </c>
      <c r="X14" s="57">
        <f t="shared" si="7"/>
        <v>-0.70476946558943132</v>
      </c>
      <c r="Y14" s="59">
        <f t="shared" si="8"/>
        <v>43.070607122936075</v>
      </c>
      <c r="Z14" s="59">
        <f t="shared" si="9"/>
        <v>34.749678960826216</v>
      </c>
      <c r="AA14" s="59">
        <f t="shared" si="15"/>
        <v>15.276527968042988</v>
      </c>
      <c r="AB14" s="59">
        <f t="shared" si="16"/>
        <v>14.460756331228815</v>
      </c>
    </row>
    <row r="15" spans="2:28" x14ac:dyDescent="0.2">
      <c r="B15" s="19" t="s">
        <v>66</v>
      </c>
      <c r="C15" s="52">
        <v>1.5</v>
      </c>
      <c r="D15" s="74">
        <v>20</v>
      </c>
      <c r="F15" s="60">
        <f>AB30</f>
        <v>102.51829049747373</v>
      </c>
      <c r="I15" s="43">
        <v>10</v>
      </c>
      <c r="J15" s="40">
        <f>'Hour 10'!D2</f>
        <v>1945.4901254480142</v>
      </c>
      <c r="K15" s="40">
        <f>'Hour 10'!E2</f>
        <v>0</v>
      </c>
      <c r="L15" s="40">
        <f t="shared" si="10"/>
        <v>1945.4901254480142</v>
      </c>
      <c r="M15" s="40">
        <f t="shared" si="0"/>
        <v>961.50498655169031</v>
      </c>
      <c r="N15" s="48">
        <f t="shared" si="1"/>
        <v>475.19739477005618</v>
      </c>
      <c r="O15" s="48">
        <f t="shared" si="2"/>
        <v>234.85324273366001</v>
      </c>
      <c r="P15" s="48">
        <f t="shared" si="3"/>
        <v>116.06975591523381</v>
      </c>
      <c r="Q15" s="77">
        <f t="shared" si="11"/>
        <v>1828.1627146953501</v>
      </c>
      <c r="R15" s="78">
        <f t="shared" si="12"/>
        <v>903.51914071147746</v>
      </c>
      <c r="S15" s="78">
        <f t="shared" si="13"/>
        <v>446.53948528211004</v>
      </c>
      <c r="T15" s="78">
        <f t="shared" si="14"/>
        <v>220.68985916446209</v>
      </c>
      <c r="U15" s="56">
        <f t="shared" si="4"/>
        <v>-0.70476946558943132</v>
      </c>
      <c r="V15" s="57">
        <f t="shared" si="5"/>
        <v>-0.70476946558943132</v>
      </c>
      <c r="W15" s="57">
        <f t="shared" si="6"/>
        <v>-0.70476946558943132</v>
      </c>
      <c r="X15" s="57">
        <f t="shared" si="7"/>
        <v>-0.70476946558943132</v>
      </c>
      <c r="Y15" s="59">
        <f t="shared" si="8"/>
        <v>44.728793821154376</v>
      </c>
      <c r="Z15" s="59">
        <f t="shared" si="9"/>
        <v>37.088302579967873</v>
      </c>
      <c r="AA15" s="59">
        <f t="shared" si="15"/>
        <v>17.695987380238176</v>
      </c>
      <c r="AB15" s="59">
        <f t="shared" si="16"/>
        <v>16.83334604127824</v>
      </c>
    </row>
    <row r="16" spans="2:28" x14ac:dyDescent="0.2">
      <c r="B16" s="50" t="s">
        <v>91</v>
      </c>
      <c r="C16" s="70"/>
      <c r="D16" s="70"/>
      <c r="E16" s="63" t="s">
        <v>86</v>
      </c>
      <c r="F16" s="62">
        <f>F12+F13+F14+F15</f>
        <v>1005.0448763286546</v>
      </c>
      <c r="I16" s="43">
        <v>11</v>
      </c>
      <c r="J16" s="40">
        <f>'Hour 11'!D2</f>
        <v>2143.3454134459871</v>
      </c>
      <c r="K16" s="40">
        <f>'Hour 11'!E2</f>
        <v>0</v>
      </c>
      <c r="L16" s="40">
        <f t="shared" si="10"/>
        <v>2143.3454134459871</v>
      </c>
      <c r="M16" s="40">
        <f t="shared" si="0"/>
        <v>1059.2895209151648</v>
      </c>
      <c r="N16" s="48">
        <f t="shared" si="1"/>
        <v>523.52471145405354</v>
      </c>
      <c r="O16" s="48">
        <f t="shared" si="2"/>
        <v>258.7376898303142</v>
      </c>
      <c r="P16" s="48">
        <f t="shared" si="3"/>
        <v>127.87398698485931</v>
      </c>
      <c r="Q16" s="77">
        <f t="shared" si="11"/>
        <v>2014.0858688105161</v>
      </c>
      <c r="R16" s="78">
        <f t="shared" si="12"/>
        <v>995.40654607982049</v>
      </c>
      <c r="S16" s="78">
        <f t="shared" si="13"/>
        <v>491.95230815244605</v>
      </c>
      <c r="T16" s="78">
        <f t="shared" si="14"/>
        <v>243.13389785273944</v>
      </c>
      <c r="U16" s="56">
        <f t="shared" si="4"/>
        <v>-0.70476946558943132</v>
      </c>
      <c r="V16" s="57">
        <f t="shared" si="5"/>
        <v>-0.70476946558943132</v>
      </c>
      <c r="W16" s="57">
        <f t="shared" si="6"/>
        <v>-0.70476946558943132</v>
      </c>
      <c r="X16" s="57">
        <f t="shared" si="7"/>
        <v>-0.70476946558943132</v>
      </c>
      <c r="Y16" s="59">
        <f t="shared" si="8"/>
        <v>45.558348665192497</v>
      </c>
      <c r="Z16" s="59">
        <f t="shared" si="9"/>
        <v>38.30071132859144</v>
      </c>
      <c r="AA16" s="59">
        <f t="shared" si="15"/>
        <v>19.06668159342421</v>
      </c>
      <c r="AB16" s="59">
        <f t="shared" si="16"/>
        <v>18.182732040513031</v>
      </c>
    </row>
    <row r="17" spans="2:28" x14ac:dyDescent="0.2">
      <c r="B17" s="19" t="s">
        <v>84</v>
      </c>
      <c r="C17" s="30">
        <v>30</v>
      </c>
      <c r="D17" s="70"/>
      <c r="I17" s="43">
        <v>12</v>
      </c>
      <c r="J17" s="40">
        <f>'Hour 12'!D2</f>
        <v>2210.9302540798135</v>
      </c>
      <c r="K17" s="40">
        <f>'Hour 12'!E2</f>
        <v>0</v>
      </c>
      <c r="L17" s="40">
        <f t="shared" si="10"/>
        <v>2210.9302540798135</v>
      </c>
      <c r="M17" s="40">
        <f t="shared" si="0"/>
        <v>1092.6914695730954</v>
      </c>
      <c r="N17" s="48">
        <f t="shared" si="1"/>
        <v>540.03270590493673</v>
      </c>
      <c r="O17" s="48">
        <f t="shared" si="2"/>
        <v>266.89631205865197</v>
      </c>
      <c r="P17" s="48">
        <f t="shared" si="3"/>
        <v>131.90616162986387</v>
      </c>
      <c r="Q17" s="77">
        <f t="shared" si="11"/>
        <v>2077.5948448311142</v>
      </c>
      <c r="R17" s="78">
        <f t="shared" si="12"/>
        <v>1026.7941107535478</v>
      </c>
      <c r="S17" s="78">
        <f t="shared" si="13"/>
        <v>507.46474872191573</v>
      </c>
      <c r="T17" s="78">
        <f t="shared" si="14"/>
        <v>250.80049495648834</v>
      </c>
      <c r="U17" s="56">
        <f t="shared" si="4"/>
        <v>-0.70476946558943132</v>
      </c>
      <c r="V17" s="57">
        <f t="shared" si="5"/>
        <v>-0.70476946558943132</v>
      </c>
      <c r="W17" s="57">
        <f t="shared" si="6"/>
        <v>-0.70476946558943132</v>
      </c>
      <c r="X17" s="57">
        <f t="shared" si="7"/>
        <v>-0.70476946558943132</v>
      </c>
      <c r="Y17" s="59">
        <f t="shared" si="8"/>
        <v>45.8131861732478</v>
      </c>
      <c r="Z17" s="59">
        <f t="shared" si="9"/>
        <v>38.679072706345401</v>
      </c>
      <c r="AA17" s="59">
        <f t="shared" si="15"/>
        <v>19.512396580940674</v>
      </c>
      <c r="AB17" s="59">
        <f t="shared" si="16"/>
        <v>18.622339048613338</v>
      </c>
    </row>
    <row r="18" spans="2:28" x14ac:dyDescent="0.2">
      <c r="B18" s="19" t="s">
        <v>85</v>
      </c>
      <c r="C18" s="30">
        <v>3</v>
      </c>
      <c r="D18" s="70"/>
      <c r="I18" s="43">
        <v>13</v>
      </c>
      <c r="J18" s="40">
        <f>'Hour 13'!D2</f>
        <v>2143.3454137796548</v>
      </c>
      <c r="K18" s="40">
        <f>'Hour 13'!E2</f>
        <v>0</v>
      </c>
      <c r="L18" s="40">
        <f t="shared" si="10"/>
        <v>2143.3454137796548</v>
      </c>
      <c r="M18" s="40">
        <f t="shared" si="0"/>
        <v>1059.2895210800709</v>
      </c>
      <c r="N18" s="48">
        <f t="shared" si="1"/>
        <v>523.52471153555382</v>
      </c>
      <c r="O18" s="48">
        <f t="shared" si="2"/>
        <v>258.73768987059344</v>
      </c>
      <c r="P18" s="48">
        <f t="shared" si="3"/>
        <v>127.87398700476622</v>
      </c>
      <c r="Q18" s="77">
        <f t="shared" si="11"/>
        <v>2014.0858691240612</v>
      </c>
      <c r="R18" s="78">
        <f t="shared" si="12"/>
        <v>995.40654623478167</v>
      </c>
      <c r="S18" s="78">
        <f t="shared" si="13"/>
        <v>491.9523082290313</v>
      </c>
      <c r="T18" s="78">
        <f t="shared" si="14"/>
        <v>243.13389789058954</v>
      </c>
      <c r="U18" s="56">
        <f t="shared" si="4"/>
        <v>-0.70476946558943132</v>
      </c>
      <c r="V18" s="57">
        <f t="shared" si="5"/>
        <v>-0.70476946558943132</v>
      </c>
      <c r="W18" s="57">
        <f t="shared" si="6"/>
        <v>-0.70476946558943132</v>
      </c>
      <c r="X18" s="57">
        <f t="shared" si="7"/>
        <v>-0.70476946558943132</v>
      </c>
      <c r="Y18" s="59">
        <f t="shared" si="8"/>
        <v>45.558348666483738</v>
      </c>
      <c r="Z18" s="59">
        <f t="shared" si="9"/>
        <v>38.300711330501436</v>
      </c>
      <c r="AA18" s="59">
        <f t="shared" si="15"/>
        <v>19.066681595651968</v>
      </c>
      <c r="AB18" s="59">
        <f t="shared" si="16"/>
        <v>18.182732042709244</v>
      </c>
    </row>
    <row r="19" spans="2:28" x14ac:dyDescent="0.2">
      <c r="I19" s="43">
        <v>14</v>
      </c>
      <c r="J19" s="40">
        <f>Hour14!D2</f>
        <v>1945.4901260829449</v>
      </c>
      <c r="K19" s="40">
        <f>Hour14!E2</f>
        <v>0</v>
      </c>
      <c r="L19" s="40">
        <f t="shared" si="10"/>
        <v>1945.4901260829449</v>
      </c>
      <c r="M19" s="40">
        <f t="shared" si="0"/>
        <v>961.50498686548735</v>
      </c>
      <c r="N19" s="48">
        <f t="shared" si="1"/>
        <v>475.19739492514174</v>
      </c>
      <c r="O19" s="48">
        <f t="shared" si="2"/>
        <v>234.85324281030677</v>
      </c>
      <c r="P19" s="48">
        <f t="shared" si="3"/>
        <v>116.06975595311437</v>
      </c>
      <c r="Q19" s="77">
        <f t="shared" si="11"/>
        <v>1828.16271529199</v>
      </c>
      <c r="R19" s="78">
        <f t="shared" si="12"/>
        <v>903.51914100635031</v>
      </c>
      <c r="S19" s="78">
        <f t="shared" si="13"/>
        <v>446.53948542784281</v>
      </c>
      <c r="T19" s="78">
        <f t="shared" si="14"/>
        <v>220.68985923648648</v>
      </c>
      <c r="U19" s="56">
        <f t="shared" si="4"/>
        <v>-0.70476946558943132</v>
      </c>
      <c r="V19" s="57">
        <f t="shared" si="5"/>
        <v>-0.70476946558943132</v>
      </c>
      <c r="W19" s="57">
        <f t="shared" si="6"/>
        <v>-0.70476946558943132</v>
      </c>
      <c r="X19" s="57">
        <f t="shared" si="7"/>
        <v>-0.70476946558943132</v>
      </c>
      <c r="Y19" s="59">
        <f t="shared" si="8"/>
        <v>44.728793824038604</v>
      </c>
      <c r="Z19" s="59">
        <f t="shared" si="9"/>
        <v>37.088302584132833</v>
      </c>
      <c r="AA19" s="59">
        <f t="shared" si="15"/>
        <v>17.695987384802308</v>
      </c>
      <c r="AB19" s="59">
        <f t="shared" si="16"/>
        <v>16.83334604576509</v>
      </c>
    </row>
    <row r="20" spans="2:28" x14ac:dyDescent="0.2">
      <c r="I20" s="43">
        <v>15</v>
      </c>
      <c r="J20" s="40">
        <f>'Hour 15'!D2</f>
        <v>1629.1570554147729</v>
      </c>
      <c r="K20" s="40">
        <f>'Hour 15'!E2</f>
        <v>0</v>
      </c>
      <c r="L20" s="40">
        <f t="shared" si="10"/>
        <v>1629.1570554147729</v>
      </c>
      <c r="M20" s="40">
        <f t="shared" si="0"/>
        <v>805.16606698090891</v>
      </c>
      <c r="N20" s="48">
        <f t="shared" si="1"/>
        <v>397.93118365279668</v>
      </c>
      <c r="O20" s="48">
        <f t="shared" si="2"/>
        <v>196.66654298667854</v>
      </c>
      <c r="P20" s="48">
        <f t="shared" si="3"/>
        <v>97.197029836390513</v>
      </c>
      <c r="Q20" s="77">
        <f t="shared" si="11"/>
        <v>1530.9068630745614</v>
      </c>
      <c r="R20" s="78">
        <f t="shared" si="12"/>
        <v>756.60861164917253</v>
      </c>
      <c r="S20" s="78">
        <f t="shared" si="13"/>
        <v>373.93299685913513</v>
      </c>
      <c r="T20" s="78">
        <f t="shared" si="14"/>
        <v>184.80609920005648</v>
      </c>
      <c r="U20" s="56">
        <f t="shared" si="4"/>
        <v>-0.70476946558943132</v>
      </c>
      <c r="V20" s="57">
        <f t="shared" si="5"/>
        <v>-0.70476946558943132</v>
      </c>
      <c r="W20" s="57">
        <f t="shared" si="6"/>
        <v>-0.70476946558943132</v>
      </c>
      <c r="X20" s="57">
        <f t="shared" si="7"/>
        <v>-0.70476946558943132</v>
      </c>
      <c r="Y20" s="59">
        <f t="shared" si="8"/>
        <v>43.070607128204479</v>
      </c>
      <c r="Z20" s="59">
        <f t="shared" si="9"/>
        <v>34.749678968083131</v>
      </c>
      <c r="AA20" s="59">
        <f t="shared" si="15"/>
        <v>15.276527975130934</v>
      </c>
      <c r="AB20" s="59">
        <f t="shared" si="16"/>
        <v>14.460756338162209</v>
      </c>
    </row>
    <row r="21" spans="2:28" x14ac:dyDescent="0.2">
      <c r="I21" s="43">
        <v>16</v>
      </c>
      <c r="J21" s="40">
        <f>'Hour 16'!D2</f>
        <v>1223.7074263688617</v>
      </c>
      <c r="K21" s="40">
        <f>'Hour 16'!E2</f>
        <v>0</v>
      </c>
      <c r="L21" s="40">
        <f t="shared" si="10"/>
        <v>1223.7074263688617</v>
      </c>
      <c r="M21" s="40">
        <f t="shared" si="0"/>
        <v>604.78373914287749</v>
      </c>
      <c r="N21" s="48">
        <f t="shared" si="1"/>
        <v>298.89772935102559</v>
      </c>
      <c r="O21" s="48">
        <f t="shared" si="2"/>
        <v>147.72198197295248</v>
      </c>
      <c r="P21" s="48">
        <f t="shared" si="3"/>
        <v>73.007526706199187</v>
      </c>
      <c r="Q21" s="77">
        <f t="shared" si="11"/>
        <v>1149.9088385597347</v>
      </c>
      <c r="R21" s="78">
        <f t="shared" si="12"/>
        <v>568.31081684387175</v>
      </c>
      <c r="S21" s="78">
        <f t="shared" si="13"/>
        <v>280.87199064082239</v>
      </c>
      <c r="T21" s="78">
        <f t="shared" si="14"/>
        <v>138.81325638785242</v>
      </c>
      <c r="U21" s="56">
        <f t="shared" si="4"/>
        <v>-0.70476946558943132</v>
      </c>
      <c r="V21" s="57">
        <f t="shared" si="5"/>
        <v>-0.70476946558943132</v>
      </c>
      <c r="W21" s="57">
        <f t="shared" si="6"/>
        <v>-0.70476946558943132</v>
      </c>
      <c r="X21" s="57">
        <f t="shared" si="7"/>
        <v>-0.70476946558943132</v>
      </c>
      <c r="Y21" s="59">
        <f t="shared" si="8"/>
        <v>40.015218312902718</v>
      </c>
      <c r="Z21" s="59">
        <f t="shared" si="9"/>
        <v>30.714569968116233</v>
      </c>
      <c r="AA21" s="59">
        <f t="shared" si="15"/>
        <v>11.68214935696124</v>
      </c>
      <c r="AB21" s="59">
        <f t="shared" si="16"/>
        <v>10.957666055038279</v>
      </c>
    </row>
    <row r="22" spans="2:28" x14ac:dyDescent="0.2">
      <c r="I22" s="43">
        <v>17</v>
      </c>
      <c r="J22" s="40">
        <f>'Hour 17'!D2</f>
        <v>760.46596427289614</v>
      </c>
      <c r="K22" s="40">
        <f>'Hour 7'!E2</f>
        <v>0</v>
      </c>
      <c r="L22" s="40">
        <f t="shared" si="10"/>
        <v>760.46596427289614</v>
      </c>
      <c r="M22" s="40">
        <f t="shared" si="0"/>
        <v>375.83938730238884</v>
      </c>
      <c r="N22" s="48">
        <f t="shared" si="1"/>
        <v>185.748280244065</v>
      </c>
      <c r="O22" s="48">
        <f t="shared" si="2"/>
        <v>91.800978767209713</v>
      </c>
      <c r="P22" s="48">
        <f t="shared" si="3"/>
        <v>45.370108899767111</v>
      </c>
      <c r="Q22" s="77">
        <f t="shared" si="11"/>
        <v>714.60425498608083</v>
      </c>
      <c r="R22" s="78">
        <f t="shared" si="12"/>
        <v>353.17349884875182</v>
      </c>
      <c r="S22" s="78">
        <f t="shared" si="13"/>
        <v>174.54628826902081</v>
      </c>
      <c r="T22" s="78">
        <f t="shared" si="14"/>
        <v>86.264702328470833</v>
      </c>
      <c r="U22" s="56">
        <f t="shared" si="4"/>
        <v>-0.70476946558943132</v>
      </c>
      <c r="V22" s="57">
        <f t="shared" si="5"/>
        <v>-0.70476946558943132</v>
      </c>
      <c r="W22" s="57">
        <f t="shared" si="6"/>
        <v>-0.70476946558943132</v>
      </c>
      <c r="X22" s="57">
        <f t="shared" si="7"/>
        <v>-0.70476946558943132</v>
      </c>
      <c r="Y22" s="59">
        <f t="shared" si="8"/>
        <v>33.967693898854073</v>
      </c>
      <c r="Z22" s="59">
        <f t="shared" si="9"/>
        <v>23.634832098202189</v>
      </c>
      <c r="AA22" s="59">
        <f t="shared" si="15"/>
        <v>6.6997717854070817</v>
      </c>
      <c r="AB22" s="59">
        <f t="shared" si="16"/>
        <v>6.1441658523096994</v>
      </c>
    </row>
    <row r="23" spans="2:28" x14ac:dyDescent="0.2">
      <c r="I23" s="43">
        <v>18</v>
      </c>
      <c r="J23" s="40">
        <f>'Hour 18'!D2</f>
        <v>293.25353988671048</v>
      </c>
      <c r="K23" s="40">
        <f>'Hour 18'!E2</f>
        <v>0</v>
      </c>
      <c r="L23" s="40">
        <f t="shared" si="10"/>
        <v>293.25353988671048</v>
      </c>
      <c r="M23" s="40">
        <f t="shared" si="0"/>
        <v>144.93249656565351</v>
      </c>
      <c r="N23" s="48">
        <f t="shared" si="1"/>
        <v>71.628900264487754</v>
      </c>
      <c r="O23" s="48">
        <f t="shared" si="2"/>
        <v>35.400613904251344</v>
      </c>
      <c r="P23" s="48">
        <f t="shared" si="3"/>
        <v>17.495779778419802</v>
      </c>
      <c r="Q23" s="77">
        <f t="shared" si="11"/>
        <v>275.56818745088793</v>
      </c>
      <c r="R23" s="78">
        <f t="shared" si="12"/>
        <v>136.19199753482363</v>
      </c>
      <c r="S23" s="78">
        <f t="shared" si="13"/>
        <v>67.309149013548947</v>
      </c>
      <c r="T23" s="78">
        <f t="shared" si="14"/>
        <v>33.265695657116012</v>
      </c>
      <c r="U23" s="56">
        <f t="shared" si="4"/>
        <v>-0.70476946558943132</v>
      </c>
      <c r="V23" s="57">
        <f t="shared" si="5"/>
        <v>-0.70476946558943132</v>
      </c>
      <c r="W23" s="57">
        <f t="shared" si="6"/>
        <v>-0.70476946558943132</v>
      </c>
      <c r="X23" s="57">
        <f t="shared" si="7"/>
        <v>-0.70476946558943132</v>
      </c>
      <c r="Y23" s="59">
        <f t="shared" si="8"/>
        <v>19.974348487961116</v>
      </c>
      <c r="Z23" s="59">
        <f t="shared" si="9"/>
        <v>10.739913854847689</v>
      </c>
      <c r="AA23" s="59">
        <f t="shared" si="15"/>
        <v>0.37835057284089202</v>
      </c>
      <c r="AB23" s="59">
        <f t="shared" si="16"/>
        <v>0.10673845040927943</v>
      </c>
    </row>
    <row r="24" spans="2:28" x14ac:dyDescent="0.2">
      <c r="I24" s="43">
        <v>19</v>
      </c>
      <c r="J24" s="40">
        <f>'Hour 19'!D2</f>
        <v>0.73711926760541946</v>
      </c>
      <c r="K24" s="40">
        <f>'Hour 19'!E2</f>
        <v>0</v>
      </c>
      <c r="L24" s="40">
        <f t="shared" si="10"/>
        <v>0.73711926760541946</v>
      </c>
      <c r="M24" s="40">
        <f t="shared" si="0"/>
        <v>0.36430092459232022</v>
      </c>
      <c r="N24" s="48">
        <f t="shared" si="1"/>
        <v>0.18004571239869138</v>
      </c>
      <c r="O24" s="48">
        <f t="shared" si="2"/>
        <v>8.898264145068728E-2</v>
      </c>
      <c r="P24" s="48">
        <f t="shared" si="3"/>
        <v>4.3977223195452886E-2</v>
      </c>
      <c r="Q24" s="77">
        <f t="shared" si="11"/>
        <v>0.69266553640792594</v>
      </c>
      <c r="R24" s="78">
        <f t="shared" si="12"/>
        <v>0.34233089058488697</v>
      </c>
      <c r="S24" s="78">
        <f t="shared" si="13"/>
        <v>0.16918762734519224</v>
      </c>
      <c r="T24" s="78">
        <f t="shared" si="14"/>
        <v>8.3616331549249134E-2</v>
      </c>
      <c r="U24" s="56">
        <f t="shared" si="4"/>
        <v>-0.70476946558943132</v>
      </c>
      <c r="V24" s="57">
        <f t="shared" si="5"/>
        <v>-0.70476946558943132</v>
      </c>
      <c r="W24" s="57">
        <f t="shared" si="6"/>
        <v>-0.70476946558943132</v>
      </c>
      <c r="X24" s="57">
        <f t="shared" si="7"/>
        <v>-0.70476946558943132</v>
      </c>
      <c r="Y24" s="59">
        <f t="shared" si="8"/>
        <v>-4.3962797780966634</v>
      </c>
      <c r="Z24" s="59">
        <f t="shared" si="9"/>
        <v>-4.4486942752483829</v>
      </c>
      <c r="AA24" s="59">
        <f t="shared" si="15"/>
        <v>-4.486655572338452</v>
      </c>
      <c r="AB24" s="59">
        <f t="shared" si="16"/>
        <v>-4.4874601716037343</v>
      </c>
    </row>
    <row r="25" spans="2:28" x14ac:dyDescent="0.2">
      <c r="I25" s="43">
        <v>20</v>
      </c>
      <c r="J25" s="40">
        <f>'Hour 20'!D2</f>
        <v>0</v>
      </c>
      <c r="K25" s="40">
        <f>'Hour 20'!E2</f>
        <v>0</v>
      </c>
      <c r="L25" s="40">
        <f t="shared" si="10"/>
        <v>0</v>
      </c>
      <c r="M25" s="40">
        <f t="shared" si="0"/>
        <v>0</v>
      </c>
      <c r="N25" s="48">
        <f t="shared" si="1"/>
        <v>0</v>
      </c>
      <c r="O25" s="48">
        <f t="shared" si="2"/>
        <v>0</v>
      </c>
      <c r="P25" s="48">
        <f t="shared" si="3"/>
        <v>0</v>
      </c>
      <c r="Q25" s="77">
        <f t="shared" si="11"/>
        <v>0</v>
      </c>
      <c r="R25" s="78">
        <f t="shared" si="12"/>
        <v>0</v>
      </c>
      <c r="S25" s="78">
        <f t="shared" si="13"/>
        <v>0</v>
      </c>
      <c r="T25" s="78">
        <f t="shared" si="14"/>
        <v>0</v>
      </c>
      <c r="U25" s="56">
        <f t="shared" si="4"/>
        <v>-0.70476946558943132</v>
      </c>
      <c r="V25" s="57">
        <f t="shared" si="5"/>
        <v>-0.70476946558943132</v>
      </c>
      <c r="W25" s="57">
        <f t="shared" si="6"/>
        <v>-0.70476946558943132</v>
      </c>
      <c r="X25" s="57">
        <f t="shared" si="7"/>
        <v>-0.70476946558943132</v>
      </c>
      <c r="Y25" s="59">
        <f t="shared" si="8"/>
        <v>-4.5</v>
      </c>
      <c r="Z25" s="59">
        <f t="shared" si="9"/>
        <v>-4.5</v>
      </c>
      <c r="AA25" s="59">
        <f t="shared" si="15"/>
        <v>-4.5</v>
      </c>
      <c r="AB25" s="59">
        <f t="shared" si="16"/>
        <v>-4.5</v>
      </c>
    </row>
    <row r="26" spans="2:28" x14ac:dyDescent="0.2">
      <c r="I26" s="43">
        <v>21</v>
      </c>
      <c r="J26" s="40">
        <f>'Hour 21'!D2</f>
        <v>0</v>
      </c>
      <c r="K26" s="40">
        <f>'Hour 21'!E2</f>
        <v>0</v>
      </c>
      <c r="L26" s="40">
        <f t="shared" si="10"/>
        <v>0</v>
      </c>
      <c r="M26" s="40">
        <f t="shared" si="0"/>
        <v>0</v>
      </c>
      <c r="N26" s="48">
        <f t="shared" si="1"/>
        <v>0</v>
      </c>
      <c r="O26" s="48">
        <f t="shared" si="2"/>
        <v>0</v>
      </c>
      <c r="P26" s="48">
        <f t="shared" si="3"/>
        <v>0</v>
      </c>
      <c r="Q26" s="77">
        <f t="shared" si="11"/>
        <v>0</v>
      </c>
      <c r="R26" s="78">
        <f t="shared" si="12"/>
        <v>0</v>
      </c>
      <c r="S26" s="78">
        <f t="shared" si="13"/>
        <v>0</v>
      </c>
      <c r="T26" s="78">
        <f t="shared" si="14"/>
        <v>0</v>
      </c>
      <c r="U26" s="56">
        <f t="shared" si="4"/>
        <v>-0.70476946558943132</v>
      </c>
      <c r="V26" s="57">
        <f t="shared" si="5"/>
        <v>-0.70476946558943132</v>
      </c>
      <c r="W26" s="57">
        <f t="shared" si="6"/>
        <v>-0.70476946558943132</v>
      </c>
      <c r="X26" s="57">
        <f t="shared" si="7"/>
        <v>-0.70476946558943132</v>
      </c>
      <c r="Y26" s="59">
        <f t="shared" si="8"/>
        <v>-4.5</v>
      </c>
      <c r="Z26" s="59">
        <f t="shared" si="9"/>
        <v>-4.5</v>
      </c>
      <c r="AA26" s="59">
        <f t="shared" si="15"/>
        <v>-4.5</v>
      </c>
      <c r="AB26" s="59">
        <f t="shared" si="16"/>
        <v>-4.5</v>
      </c>
    </row>
    <row r="27" spans="2:28" x14ac:dyDescent="0.2">
      <c r="I27" s="43">
        <v>22</v>
      </c>
      <c r="J27" s="40">
        <f>'Hour 22'!D2</f>
        <v>0</v>
      </c>
      <c r="K27" s="40">
        <f>'Hour 22'!E2</f>
        <v>0</v>
      </c>
      <c r="L27" s="40">
        <f t="shared" si="10"/>
        <v>0</v>
      </c>
      <c r="M27" s="40">
        <f t="shared" si="0"/>
        <v>0</v>
      </c>
      <c r="N27" s="48">
        <f t="shared" si="1"/>
        <v>0</v>
      </c>
      <c r="O27" s="48">
        <f t="shared" si="2"/>
        <v>0</v>
      </c>
      <c r="P27" s="48">
        <f t="shared" si="3"/>
        <v>0</v>
      </c>
      <c r="Q27" s="77">
        <f t="shared" si="11"/>
        <v>0</v>
      </c>
      <c r="R27" s="78">
        <f t="shared" si="12"/>
        <v>0</v>
      </c>
      <c r="S27" s="78">
        <f t="shared" si="13"/>
        <v>0</v>
      </c>
      <c r="T27" s="78">
        <f t="shared" si="14"/>
        <v>0</v>
      </c>
      <c r="U27" s="56">
        <f t="shared" si="4"/>
        <v>-0.70476946558943132</v>
      </c>
      <c r="V27" s="57">
        <f t="shared" si="5"/>
        <v>-0.70476946558943132</v>
      </c>
      <c r="W27" s="57">
        <f t="shared" si="6"/>
        <v>-0.70476946558943132</v>
      </c>
      <c r="X27" s="57">
        <f t="shared" si="7"/>
        <v>-0.70476946558943132</v>
      </c>
      <c r="Y27" s="59">
        <f t="shared" si="8"/>
        <v>-4.5</v>
      </c>
      <c r="Z27" s="59">
        <f t="shared" si="9"/>
        <v>-4.5</v>
      </c>
      <c r="AA27" s="59">
        <f t="shared" si="15"/>
        <v>-4.5</v>
      </c>
      <c r="AB27" s="59">
        <f t="shared" si="16"/>
        <v>-4.5</v>
      </c>
    </row>
    <row r="28" spans="2:28" x14ac:dyDescent="0.2">
      <c r="I28" s="43">
        <v>23</v>
      </c>
      <c r="J28" s="40">
        <f>'Hour 23'!D2</f>
        <v>0</v>
      </c>
      <c r="K28" s="40">
        <f>'Hour 23'!E2</f>
        <v>0</v>
      </c>
      <c r="L28" s="40">
        <f t="shared" si="10"/>
        <v>0</v>
      </c>
      <c r="M28" s="40">
        <f t="shared" si="0"/>
        <v>0</v>
      </c>
      <c r="N28" s="48">
        <f t="shared" si="1"/>
        <v>0</v>
      </c>
      <c r="O28" s="48">
        <f t="shared" si="2"/>
        <v>0</v>
      </c>
      <c r="P28" s="48">
        <f t="shared" si="3"/>
        <v>0</v>
      </c>
      <c r="Q28" s="77">
        <f t="shared" si="11"/>
        <v>0</v>
      </c>
      <c r="R28" s="78">
        <f t="shared" si="12"/>
        <v>0</v>
      </c>
      <c r="S28" s="78">
        <f t="shared" si="13"/>
        <v>0</v>
      </c>
      <c r="T28" s="78">
        <f t="shared" si="14"/>
        <v>0</v>
      </c>
      <c r="U28" s="56">
        <f t="shared" si="4"/>
        <v>-0.70476946558943132</v>
      </c>
      <c r="V28" s="57">
        <f t="shared" si="5"/>
        <v>-0.70476946558943132</v>
      </c>
      <c r="W28" s="57">
        <f t="shared" si="6"/>
        <v>-0.70476946558943132</v>
      </c>
      <c r="X28" s="57">
        <f t="shared" si="7"/>
        <v>-0.70476946558943132</v>
      </c>
      <c r="Y28" s="59">
        <f t="shared" si="8"/>
        <v>-4.5</v>
      </c>
      <c r="Z28" s="59">
        <f t="shared" si="9"/>
        <v>-4.5</v>
      </c>
      <c r="AA28" s="59">
        <f t="shared" si="15"/>
        <v>-4.5</v>
      </c>
      <c r="AB28" s="59">
        <f t="shared" si="16"/>
        <v>-4.5</v>
      </c>
    </row>
    <row r="29" spans="2:28" x14ac:dyDescent="0.2">
      <c r="I29" s="43">
        <v>24</v>
      </c>
      <c r="J29" s="40">
        <f>'Hour 0'!D2</f>
        <v>0</v>
      </c>
      <c r="K29" s="40">
        <f>'Hour 0'!E2</f>
        <v>0</v>
      </c>
      <c r="L29" s="40">
        <f t="shared" si="10"/>
        <v>0</v>
      </c>
      <c r="M29" s="40">
        <f t="shared" si="0"/>
        <v>0</v>
      </c>
      <c r="N29" s="48">
        <f t="shared" si="1"/>
        <v>0</v>
      </c>
      <c r="O29" s="48">
        <f t="shared" si="2"/>
        <v>0</v>
      </c>
      <c r="P29" s="48">
        <f t="shared" si="3"/>
        <v>0</v>
      </c>
      <c r="Q29" s="77">
        <f t="shared" si="11"/>
        <v>0</v>
      </c>
      <c r="R29" s="78">
        <f t="shared" si="12"/>
        <v>0</v>
      </c>
      <c r="S29" s="78">
        <f t="shared" si="13"/>
        <v>0</v>
      </c>
      <c r="T29" s="78">
        <f t="shared" si="14"/>
        <v>0</v>
      </c>
      <c r="U29" s="56">
        <f t="shared" si="4"/>
        <v>-0.70476946558943132</v>
      </c>
      <c r="V29" s="57">
        <f t="shared" si="5"/>
        <v>-0.70476946558943132</v>
      </c>
      <c r="W29" s="57">
        <f t="shared" si="6"/>
        <v>-0.70476946558943132</v>
      </c>
      <c r="X29" s="57">
        <f t="shared" si="7"/>
        <v>-0.70476946558943132</v>
      </c>
      <c r="Y29" s="59">
        <f t="shared" si="8"/>
        <v>-4.5</v>
      </c>
      <c r="Z29" s="59">
        <f t="shared" si="9"/>
        <v>-4.5</v>
      </c>
      <c r="AA29" s="59">
        <f t="shared" si="15"/>
        <v>-4.5</v>
      </c>
      <c r="AB29" s="59">
        <f t="shared" si="16"/>
        <v>-4.5</v>
      </c>
    </row>
    <row r="30" spans="2:28" x14ac:dyDescent="0.2">
      <c r="Y30" s="59">
        <f>SUM(Y6:Y29)</f>
        <v>451.15071447717628</v>
      </c>
      <c r="Z30" s="59">
        <f t="shared" ref="Z30:AB30" si="17">SUM(Z6:Z29)</f>
        <v>339.73778440571215</v>
      </c>
      <c r="AA30" s="59">
        <f t="shared" si="17"/>
        <v>111.63808694829251</v>
      </c>
      <c r="AB30" s="59">
        <f t="shared" si="17"/>
        <v>102.51829049747373</v>
      </c>
    </row>
    <row r="32" spans="2:28" x14ac:dyDescent="0.2">
      <c r="I32" s="19"/>
      <c r="J32" s="54"/>
    </row>
    <row r="33" spans="9:10" x14ac:dyDescent="0.2">
      <c r="I33" s="19"/>
      <c r="J33" s="54"/>
    </row>
  </sheetData>
  <sheetProtection selectLockedCells="1"/>
  <mergeCells count="2">
    <mergeCell ref="E3:F3"/>
    <mergeCell ref="E4:F4"/>
  </mergeCell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7</v>
      </c>
      <c r="D1" s="13" t="s">
        <v>33</v>
      </c>
      <c r="E1" s="12" t="s">
        <v>34</v>
      </c>
    </row>
    <row r="2" spans="1:6" x14ac:dyDescent="0.2">
      <c r="D2" s="18">
        <f>C26</f>
        <v>760.46671156305126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-1.3089966666666668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0.40615822436181664</v>
      </c>
    </row>
    <row r="22" spans="1:4" x14ac:dyDescent="0.2">
      <c r="A22" s="1">
        <v>1049</v>
      </c>
      <c r="B22" t="s">
        <v>1</v>
      </c>
      <c r="C22" s="3">
        <f>IF(C21&gt;0.99, 0.99, C21)</f>
        <v>0.40615822436181664</v>
      </c>
    </row>
    <row r="23" spans="1:4" x14ac:dyDescent="0.2">
      <c r="A23" s="1">
        <v>1080</v>
      </c>
      <c r="B23" t="s">
        <v>39</v>
      </c>
      <c r="C23" s="15">
        <f>1.94*1440*C22*C8^(1/C22)</f>
        <v>760.47017642412948</v>
      </c>
    </row>
    <row r="24" spans="1:4" x14ac:dyDescent="0.2">
      <c r="A24" s="5" t="s">
        <v>15</v>
      </c>
      <c r="B24" s="6" t="s">
        <v>36</v>
      </c>
      <c r="C24" s="16">
        <f>C23*(1-C9/100)</f>
        <v>760.47017642412948</v>
      </c>
    </row>
    <row r="25" spans="1:4" x14ac:dyDescent="0.2">
      <c r="A25" s="31"/>
      <c r="B25" s="32" t="s">
        <v>35</v>
      </c>
      <c r="C25" s="33">
        <f>IF(C24&lt;0, 0, C24)</f>
        <v>760.47017642412948</v>
      </c>
    </row>
    <row r="26" spans="1:4" x14ac:dyDescent="0.2">
      <c r="A26" s="7"/>
      <c r="B26" s="8" t="s">
        <v>49</v>
      </c>
      <c r="C26" s="17">
        <f>C25*C39</f>
        <v>760.46671156305126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0.91380276689406903</v>
      </c>
    </row>
    <row r="30" spans="1:4" x14ac:dyDescent="0.2">
      <c r="A30" s="1" t="s">
        <v>15</v>
      </c>
      <c r="B30" t="s">
        <v>3</v>
      </c>
      <c r="C30" s="3">
        <f>COS(C15)*SIN(C20)/C29</f>
        <v>-0.9932923841254313</v>
      </c>
    </row>
    <row r="31" spans="1:4" x14ac:dyDescent="0.2">
      <c r="A31" s="1" t="s">
        <v>15</v>
      </c>
      <c r="B31" t="s">
        <v>27</v>
      </c>
      <c r="C31" s="3">
        <f>IF(C30&gt;0.99, 0.99, C30)</f>
        <v>-0.9932923841254313</v>
      </c>
    </row>
    <row r="32" spans="1:4" x14ac:dyDescent="0.2">
      <c r="A32" s="1" t="s">
        <v>15</v>
      </c>
      <c r="B32" t="s">
        <v>28</v>
      </c>
      <c r="C32" s="3">
        <f>IF(C31&lt;-0.99, -0.99, C31)</f>
        <v>-0.99</v>
      </c>
    </row>
    <row r="33" spans="1:3" x14ac:dyDescent="0.2">
      <c r="A33" s="1" t="s">
        <v>15</v>
      </c>
      <c r="B33" t="s">
        <v>4</v>
      </c>
      <c r="C33" s="3">
        <f>1-C31*C31</f>
        <v>1.3370239638416659E-2</v>
      </c>
    </row>
    <row r="34" spans="1:3" x14ac:dyDescent="0.2">
      <c r="A34" s="1" t="s">
        <v>15</v>
      </c>
      <c r="B34" t="s">
        <v>29</v>
      </c>
      <c r="C34" s="3">
        <f>ATAN(C32/C33^0.5)</f>
        <v>-1.4545253988015456</v>
      </c>
    </row>
    <row r="35" spans="1:3" x14ac:dyDescent="0.2">
      <c r="A35" s="1" t="s">
        <v>15</v>
      </c>
      <c r="B35" t="s">
        <v>48</v>
      </c>
      <c r="C35" s="3">
        <f>IF(C18&lt;0, -3.141592-C34,C34)</f>
        <v>-1.6870666011984545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0.40615637382005076</v>
      </c>
    </row>
    <row r="38" spans="1:3" x14ac:dyDescent="0.2">
      <c r="A38" s="1" t="s">
        <v>32</v>
      </c>
      <c r="B38" t="s">
        <v>30</v>
      </c>
      <c r="C38" s="3">
        <f>C37/C22</f>
        <v>0.99999544379097882</v>
      </c>
    </row>
    <row r="39" spans="1:3" x14ac:dyDescent="0.2">
      <c r="A39" s="1" t="s">
        <v>32</v>
      </c>
      <c r="B39" t="s">
        <v>31</v>
      </c>
      <c r="C39" s="3">
        <f>IF(C38&lt;0, 0, C38)</f>
        <v>0.99999544379097882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8</v>
      </c>
      <c r="D1" s="13" t="s">
        <v>33</v>
      </c>
      <c r="E1" s="12" t="s">
        <v>34</v>
      </c>
    </row>
    <row r="2" spans="1:6" x14ac:dyDescent="0.2">
      <c r="D2" s="18">
        <f>C26</f>
        <v>1223.7131468214975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-1.0471973333333335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0.57976887449189873</v>
      </c>
    </row>
    <row r="22" spans="1:4" x14ac:dyDescent="0.2">
      <c r="A22" s="1">
        <v>1049</v>
      </c>
      <c r="B22" t="s">
        <v>1</v>
      </c>
      <c r="C22" s="3">
        <f>IF(C21&gt;0.99, 0.99, C21)</f>
        <v>0.57976887449189873</v>
      </c>
    </row>
    <row r="23" spans="1:4" x14ac:dyDescent="0.2">
      <c r="A23" s="1">
        <v>1080</v>
      </c>
      <c r="B23" t="s">
        <v>39</v>
      </c>
      <c r="C23" s="15">
        <f>1.94*1440*C22*C8^(1/C22)</f>
        <v>1223.7116602319993</v>
      </c>
    </row>
    <row r="24" spans="1:4" x14ac:dyDescent="0.2">
      <c r="A24" s="5" t="s">
        <v>15</v>
      </c>
      <c r="B24" s="6" t="s">
        <v>36</v>
      </c>
      <c r="C24" s="16">
        <f>C23*(1-C9/100)</f>
        <v>1223.7116602319993</v>
      </c>
    </row>
    <row r="25" spans="1:4" x14ac:dyDescent="0.2">
      <c r="A25" s="31"/>
      <c r="B25" s="32" t="s">
        <v>35</v>
      </c>
      <c r="C25" s="33">
        <f>IF(C24&lt;0, 0, C24)</f>
        <v>1223.7116602319993</v>
      </c>
    </row>
    <row r="26" spans="1:4" x14ac:dyDescent="0.2">
      <c r="A26" s="7"/>
      <c r="B26" s="8" t="s">
        <v>49</v>
      </c>
      <c r="C26" s="17">
        <f>C25*C39</f>
        <v>1223.7131468214975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0.81478098417329126</v>
      </c>
    </row>
    <row r="30" spans="1:4" x14ac:dyDescent="0.2">
      <c r="A30" s="1" t="s">
        <v>15</v>
      </c>
      <c r="B30" t="s">
        <v>3</v>
      </c>
      <c r="C30" s="3">
        <f>COS(C15)*SIN(C20)/C29</f>
        <v>-0.99879306992300565</v>
      </c>
    </row>
    <row r="31" spans="1:4" x14ac:dyDescent="0.2">
      <c r="A31" s="1" t="s">
        <v>15</v>
      </c>
      <c r="B31" t="s">
        <v>27</v>
      </c>
      <c r="C31" s="3">
        <f>IF(C30&gt;0.99, 0.99, C30)</f>
        <v>-0.99879306992300565</v>
      </c>
    </row>
    <row r="32" spans="1:4" x14ac:dyDescent="0.2">
      <c r="A32" s="1" t="s">
        <v>15</v>
      </c>
      <c r="B32" t="s">
        <v>28</v>
      </c>
      <c r="C32" s="3">
        <f>IF(C31&lt;-0.99, -0.99, C31)</f>
        <v>-0.99</v>
      </c>
    </row>
    <row r="33" spans="1:3" x14ac:dyDescent="0.2">
      <c r="A33" s="1" t="s">
        <v>15</v>
      </c>
      <c r="B33" t="s">
        <v>4</v>
      </c>
      <c r="C33" s="3">
        <f>1-C31*C31</f>
        <v>2.4124034737779132E-3</v>
      </c>
    </row>
    <row r="34" spans="1:3" x14ac:dyDescent="0.2">
      <c r="A34" s="1" t="s">
        <v>15</v>
      </c>
      <c r="B34" t="s">
        <v>29</v>
      </c>
      <c r="C34" s="3">
        <f>ATAN(C32/C33^0.5)</f>
        <v>-1.5212246241997049</v>
      </c>
    </row>
    <row r="35" spans="1:3" x14ac:dyDescent="0.2">
      <c r="A35" s="1" t="s">
        <v>15</v>
      </c>
      <c r="B35" t="s">
        <v>48</v>
      </c>
      <c r="C35" s="3">
        <f>IF(C18&lt;0, -3.141592-C34,C34)</f>
        <v>-1.5212246241997049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0.57976957880676983</v>
      </c>
    </row>
    <row r="38" spans="1:3" x14ac:dyDescent="0.2">
      <c r="A38" s="1" t="s">
        <v>32</v>
      </c>
      <c r="B38" t="s">
        <v>30</v>
      </c>
      <c r="C38" s="3">
        <f>C37/C22</f>
        <v>1.000001214820081</v>
      </c>
    </row>
    <row r="39" spans="1:3" x14ac:dyDescent="0.2">
      <c r="A39" s="1" t="s">
        <v>32</v>
      </c>
      <c r="B39" t="s">
        <v>31</v>
      </c>
      <c r="C39" s="3">
        <f>IF(C38&lt;0, 0, C38)</f>
        <v>1.000001214820081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9</v>
      </c>
      <c r="D1" s="13" t="s">
        <v>33</v>
      </c>
      <c r="E1" s="12" t="s">
        <v>34</v>
      </c>
    </row>
    <row r="2" spans="1:6" x14ac:dyDescent="0.2">
      <c r="D2" s="18">
        <f>C26</f>
        <v>1629.1570545437994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-0.78539800000000004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0.72885171287053263</v>
      </c>
    </row>
    <row r="22" spans="1:4" x14ac:dyDescent="0.2">
      <c r="A22" s="1">
        <v>1049</v>
      </c>
      <c r="B22" t="s">
        <v>1</v>
      </c>
      <c r="C22" s="3">
        <f>IF(C21&gt;0.99, 0.99, C21)</f>
        <v>0.72885171287053263</v>
      </c>
    </row>
    <row r="23" spans="1:4" x14ac:dyDescent="0.2">
      <c r="A23" s="1">
        <v>1080</v>
      </c>
      <c r="B23" t="s">
        <v>39</v>
      </c>
      <c r="C23" s="15">
        <f>1.94*1440*C22*C8^(1/C22)</f>
        <v>1629.1634969063623</v>
      </c>
    </row>
    <row r="24" spans="1:4" x14ac:dyDescent="0.2">
      <c r="A24" s="5" t="s">
        <v>15</v>
      </c>
      <c r="B24" s="6" t="s">
        <v>36</v>
      </c>
      <c r="C24" s="16">
        <f>C23*(1-C9/100)</f>
        <v>1629.1634969063623</v>
      </c>
    </row>
    <row r="25" spans="1:4" x14ac:dyDescent="0.2">
      <c r="A25" s="31"/>
      <c r="B25" s="32" t="s">
        <v>35</v>
      </c>
      <c r="C25" s="33">
        <f>IF(C24&lt;0, 0, C24)</f>
        <v>1629.1634969063623</v>
      </c>
    </row>
    <row r="26" spans="1:4" x14ac:dyDescent="0.2">
      <c r="A26" s="7"/>
      <c r="B26" s="8" t="s">
        <v>49</v>
      </c>
      <c r="C26" s="17">
        <f>C25*C39</f>
        <v>1629.1570545437994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0.68467158597804445</v>
      </c>
    </row>
    <row r="30" spans="1:4" x14ac:dyDescent="0.2">
      <c r="A30" s="1" t="s">
        <v>15</v>
      </c>
      <c r="B30" t="s">
        <v>3</v>
      </c>
      <c r="C30" s="3">
        <f>COS(C15)*SIN(C20)/C29</f>
        <v>-0.97048416640651392</v>
      </c>
    </row>
    <row r="31" spans="1:4" x14ac:dyDescent="0.2">
      <c r="A31" s="1" t="s">
        <v>15</v>
      </c>
      <c r="B31" t="s">
        <v>27</v>
      </c>
      <c r="C31" s="3">
        <f>IF(C30&gt;0.99, 0.99, C30)</f>
        <v>-0.97048416640651392</v>
      </c>
    </row>
    <row r="32" spans="1:4" x14ac:dyDescent="0.2">
      <c r="A32" s="1" t="s">
        <v>15</v>
      </c>
      <c r="B32" t="s">
        <v>28</v>
      </c>
      <c r="C32" s="3">
        <f>IF(C31&lt;-0.99, -0.99, C31)</f>
        <v>-0.97048416640651392</v>
      </c>
    </row>
    <row r="33" spans="1:3" x14ac:dyDescent="0.2">
      <c r="A33" s="1" t="s">
        <v>15</v>
      </c>
      <c r="B33" t="s">
        <v>4</v>
      </c>
      <c r="C33" s="3">
        <f>1-C31*C31</f>
        <v>5.8160482754253784E-2</v>
      </c>
    </row>
    <row r="34" spans="1:3" x14ac:dyDescent="0.2">
      <c r="A34" s="1" t="s">
        <v>15</v>
      </c>
      <c r="B34" t="s">
        <v>29</v>
      </c>
      <c r="C34" s="3">
        <f>ATAN(C32/C33^0.5)</f>
        <v>-1.3272303817656894</v>
      </c>
    </row>
    <row r="35" spans="1:3" x14ac:dyDescent="0.2">
      <c r="A35" s="1" t="s">
        <v>15</v>
      </c>
      <c r="B35" t="s">
        <v>48</v>
      </c>
      <c r="C35" s="3">
        <f>IF(C18&lt;0, -3.141592-C34,C34)</f>
        <v>-1.8143616182343107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0.72884883070002127</v>
      </c>
    </row>
    <row r="38" spans="1:3" x14ac:dyDescent="0.2">
      <c r="A38" s="1" t="s">
        <v>32</v>
      </c>
      <c r="B38" t="s">
        <v>30</v>
      </c>
      <c r="C38" s="3">
        <f>C37/C22</f>
        <v>0.99999604560096322</v>
      </c>
    </row>
    <row r="39" spans="1:3" x14ac:dyDescent="0.2">
      <c r="A39" s="1" t="s">
        <v>32</v>
      </c>
      <c r="B39" t="s">
        <v>31</v>
      </c>
      <c r="C39" s="3">
        <f>IF(C38&lt;0, 0, C38)</f>
        <v>0.99999604560096322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10</v>
      </c>
      <c r="D1" s="13" t="s">
        <v>33</v>
      </c>
      <c r="E1" s="12" t="s">
        <v>34</v>
      </c>
    </row>
    <row r="2" spans="1:6" x14ac:dyDescent="0.2">
      <c r="D2" s="18">
        <f>C26</f>
        <v>1945.4901254480142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-0.52359866666666677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0.84424699463643205</v>
      </c>
    </row>
    <row r="22" spans="1:4" x14ac:dyDescent="0.2">
      <c r="A22" s="1">
        <v>1049</v>
      </c>
      <c r="B22" t="s">
        <v>1</v>
      </c>
      <c r="C22" s="3">
        <f>IF(C21&gt;0.99, 0.99, C21)</f>
        <v>0.84424699463643205</v>
      </c>
    </row>
    <row r="23" spans="1:4" x14ac:dyDescent="0.2">
      <c r="A23" s="1">
        <v>1080</v>
      </c>
      <c r="B23" t="s">
        <v>39</v>
      </c>
      <c r="C23" s="15">
        <f>1.94*1440*C22*C8^(1/C22)</f>
        <v>1945.5004971005608</v>
      </c>
    </row>
    <row r="24" spans="1:4" x14ac:dyDescent="0.2">
      <c r="A24" s="5" t="s">
        <v>15</v>
      </c>
      <c r="B24" s="6" t="s">
        <v>36</v>
      </c>
      <c r="C24" s="16">
        <f>C23*(1-C9/100)</f>
        <v>1945.5004971005608</v>
      </c>
    </row>
    <row r="25" spans="1:4" x14ac:dyDescent="0.2">
      <c r="A25" s="31"/>
      <c r="B25" s="32" t="s">
        <v>35</v>
      </c>
      <c r="C25" s="33">
        <f>IF(C24&lt;0, 0, C24)</f>
        <v>1945.5004971005608</v>
      </c>
    </row>
    <row r="26" spans="1:4" x14ac:dyDescent="0.2">
      <c r="A26" s="7"/>
      <c r="B26" s="8" t="s">
        <v>49</v>
      </c>
      <c r="C26" s="17">
        <f>C25*C39</f>
        <v>1945.4901254480142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0.53595430033478808</v>
      </c>
    </row>
    <row r="30" spans="1:4" x14ac:dyDescent="0.2">
      <c r="A30" s="1" t="s">
        <v>15</v>
      </c>
      <c r="B30" t="s">
        <v>3</v>
      </c>
      <c r="C30" s="3">
        <f>COS(C15)*SIN(C20)/C29</f>
        <v>-0.87665353906122689</v>
      </c>
    </row>
    <row r="31" spans="1:4" x14ac:dyDescent="0.2">
      <c r="A31" s="1" t="s">
        <v>15</v>
      </c>
      <c r="B31" t="s">
        <v>27</v>
      </c>
      <c r="C31" s="3">
        <f>IF(C30&gt;0.99, 0.99, C30)</f>
        <v>-0.87665353906122689</v>
      </c>
    </row>
    <row r="32" spans="1:4" x14ac:dyDescent="0.2">
      <c r="A32" s="1" t="s">
        <v>15</v>
      </c>
      <c r="B32" t="s">
        <v>28</v>
      </c>
      <c r="C32" s="3">
        <f>IF(C31&lt;-0.99, -0.99, C31)</f>
        <v>-0.87665353906122689</v>
      </c>
    </row>
    <row r="33" spans="1:3" x14ac:dyDescent="0.2">
      <c r="A33" s="1" t="s">
        <v>15</v>
      </c>
      <c r="B33" t="s">
        <v>4</v>
      </c>
      <c r="C33" s="3">
        <f>1-C31*C31</f>
        <v>0.23147857245142589</v>
      </c>
    </row>
    <row r="34" spans="1:3" x14ac:dyDescent="0.2">
      <c r="A34" s="1" t="s">
        <v>15</v>
      </c>
      <c r="B34" t="s">
        <v>29</v>
      </c>
      <c r="C34" s="3">
        <f>ATAN(C32/C33^0.5)</f>
        <v>-1.0688619668437906</v>
      </c>
    </row>
    <row r="35" spans="1:3" x14ac:dyDescent="0.2">
      <c r="A35" s="1" t="s">
        <v>15</v>
      </c>
      <c r="B35" t="s">
        <v>48</v>
      </c>
      <c r="C35" s="3">
        <f>IF(C18&lt;0, -3.141592-C34,C34)</f>
        <v>-2.0727300331562093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0.84424249387351524</v>
      </c>
    </row>
    <row r="38" spans="1:3" x14ac:dyDescent="0.2">
      <c r="A38" s="1" t="s">
        <v>32</v>
      </c>
      <c r="B38" t="s">
        <v>30</v>
      </c>
      <c r="C38" s="3">
        <f>C37/C22</f>
        <v>0.99999466890264888</v>
      </c>
    </row>
    <row r="39" spans="1:3" x14ac:dyDescent="0.2">
      <c r="A39" s="1" t="s">
        <v>32</v>
      </c>
      <c r="B39" t="s">
        <v>31</v>
      </c>
      <c r="C39" s="3">
        <f>IF(C38&lt;0, 0, C38)</f>
        <v>0.99999466890264888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zoomScale="150" zoomScaleNormal="150" zoomScalePageLayoutView="150" workbookViewId="0">
      <pane ySplit="2" topLeftCell="A3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11</v>
      </c>
      <c r="D1" s="13" t="s">
        <v>33</v>
      </c>
      <c r="E1" s="12" t="s">
        <v>34</v>
      </c>
    </row>
    <row r="2" spans="1:6" x14ac:dyDescent="0.2">
      <c r="D2" s="18">
        <f>C26</f>
        <v>2143.3454134459871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-0.26179933333333338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0.91615887360960491</v>
      </c>
    </row>
    <row r="22" spans="1:4" x14ac:dyDescent="0.2">
      <c r="A22" s="1">
        <v>1049</v>
      </c>
      <c r="B22" t="s">
        <v>1</v>
      </c>
      <c r="C22" s="3">
        <f>IF(C21&gt;0.99, 0.99, C21)</f>
        <v>0.91615887360960491</v>
      </c>
    </row>
    <row r="23" spans="1:4" x14ac:dyDescent="0.2">
      <c r="A23" s="1">
        <v>1080</v>
      </c>
      <c r="B23" t="s">
        <v>39</v>
      </c>
      <c r="C23" s="15">
        <f>1.94*1440*C22*C8^(1/C22)</f>
        <v>2143.3584227583278</v>
      </c>
    </row>
    <row r="24" spans="1:4" x14ac:dyDescent="0.2">
      <c r="A24" s="5" t="s">
        <v>15</v>
      </c>
      <c r="B24" s="6" t="s">
        <v>36</v>
      </c>
      <c r="C24" s="16">
        <f>C23*(1-C9/100)</f>
        <v>2143.3584227583278</v>
      </c>
    </row>
    <row r="25" spans="1:4" x14ac:dyDescent="0.2">
      <c r="A25" s="31"/>
      <c r="B25" s="32" t="s">
        <v>35</v>
      </c>
      <c r="C25" s="33">
        <f>IF(C24&lt;0, 0, C24)</f>
        <v>2143.3584227583278</v>
      </c>
    </row>
    <row r="26" spans="1:4" x14ac:dyDescent="0.2">
      <c r="A26" s="7"/>
      <c r="B26" s="8" t="s">
        <v>49</v>
      </c>
      <c r="C26" s="17">
        <f>C25*C39</f>
        <v>2143.3454134459871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0.40081531695580191</v>
      </c>
    </row>
    <row r="30" spans="1:4" x14ac:dyDescent="0.2">
      <c r="A30" s="1" t="s">
        <v>15</v>
      </c>
      <c r="B30" t="s">
        <v>3</v>
      </c>
      <c r="C30" s="3">
        <f>COS(C15)*SIN(C20)/C29</f>
        <v>-0.60678894619153179</v>
      </c>
    </row>
    <row r="31" spans="1:4" x14ac:dyDescent="0.2">
      <c r="A31" s="1" t="s">
        <v>15</v>
      </c>
      <c r="B31" t="s">
        <v>27</v>
      </c>
      <c r="C31" s="3">
        <f>IF(C30&gt;0.99, 0.99, C30)</f>
        <v>-0.60678894619153179</v>
      </c>
    </row>
    <row r="32" spans="1:4" x14ac:dyDescent="0.2">
      <c r="A32" s="1" t="s">
        <v>15</v>
      </c>
      <c r="B32" t="s">
        <v>28</v>
      </c>
      <c r="C32" s="3">
        <f>IF(C31&lt;-0.99, -0.99, C31)</f>
        <v>-0.60678894619153179</v>
      </c>
    </row>
    <row r="33" spans="1:3" x14ac:dyDescent="0.2">
      <c r="A33" s="1" t="s">
        <v>15</v>
      </c>
      <c r="B33" t="s">
        <v>4</v>
      </c>
      <c r="C33" s="3">
        <f>1-C31*C31</f>
        <v>0.63180717477977033</v>
      </c>
    </row>
    <row r="34" spans="1:3" x14ac:dyDescent="0.2">
      <c r="A34" s="1" t="s">
        <v>15</v>
      </c>
      <c r="B34" t="s">
        <v>29</v>
      </c>
      <c r="C34" s="3">
        <f>ATAN(C32/C33^0.5)</f>
        <v>-0.65201457386736505</v>
      </c>
    </row>
    <row r="35" spans="1:3" x14ac:dyDescent="0.2">
      <c r="A35" s="1" t="s">
        <v>15</v>
      </c>
      <c r="B35" t="s">
        <v>48</v>
      </c>
      <c r="C35" s="3">
        <f>IF(C18&lt;0, -3.141592-C34,C34)</f>
        <v>-2.4895774261326351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0.91615331289851987</v>
      </c>
    </row>
    <row r="38" spans="1:3" x14ac:dyDescent="0.2">
      <c r="A38" s="1" t="s">
        <v>32</v>
      </c>
      <c r="B38" t="s">
        <v>30</v>
      </c>
      <c r="C38" s="3">
        <f>C37/C22</f>
        <v>0.99999393040743778</v>
      </c>
    </row>
    <row r="39" spans="1:3" x14ac:dyDescent="0.2">
      <c r="A39" s="1" t="s">
        <v>32</v>
      </c>
      <c r="B39" t="s">
        <v>31</v>
      </c>
      <c r="C39" s="3">
        <f>IF(C38&lt;0, 0, C38)</f>
        <v>0.99999393040743778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12</v>
      </c>
      <c r="D1" s="13" t="s">
        <v>33</v>
      </c>
      <c r="E1" s="12" t="s">
        <v>34</v>
      </c>
    </row>
    <row r="2" spans="1:6" x14ac:dyDescent="0.2">
      <c r="D2" s="18">
        <f>C26</f>
        <v>2210.9302540798135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0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0.94068667610548162</v>
      </c>
    </row>
    <row r="22" spans="1:4" x14ac:dyDescent="0.2">
      <c r="A22" s="1">
        <v>1049</v>
      </c>
      <c r="B22" t="s">
        <v>1</v>
      </c>
      <c r="C22" s="3">
        <f>IF(C21&gt;0.99, 0.99, C21)</f>
        <v>0.94068667610548162</v>
      </c>
    </row>
    <row r="23" spans="1:4" x14ac:dyDescent="0.2">
      <c r="A23" s="1">
        <v>1080</v>
      </c>
      <c r="B23" t="s">
        <v>39</v>
      </c>
      <c r="C23" s="15">
        <f>1.94*1440*C22*C8^(1/C22)</f>
        <v>2210.9441720022583</v>
      </c>
    </row>
    <row r="24" spans="1:4" x14ac:dyDescent="0.2">
      <c r="A24" s="5" t="s">
        <v>15</v>
      </c>
      <c r="B24" s="6" t="s">
        <v>36</v>
      </c>
      <c r="C24" s="16">
        <f>C23*(1-C9/100)</f>
        <v>2210.9441720022583</v>
      </c>
    </row>
    <row r="25" spans="1:4" x14ac:dyDescent="0.2">
      <c r="A25" s="31"/>
      <c r="B25" s="32" t="s">
        <v>35</v>
      </c>
      <c r="C25" s="33">
        <f>IF(C24&lt;0, 0, C24)</f>
        <v>2210.9441720022583</v>
      </c>
    </row>
    <row r="26" spans="1:4" x14ac:dyDescent="0.2">
      <c r="A26" s="7"/>
      <c r="B26" s="8" t="s">
        <v>49</v>
      </c>
      <c r="C26" s="17">
        <f>C25*C39</f>
        <v>2210.9302540798135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0.33927655002611173</v>
      </c>
    </row>
    <row r="30" spans="1:4" x14ac:dyDescent="0.2">
      <c r="A30" s="1" t="s">
        <v>15</v>
      </c>
      <c r="B30" t="s">
        <v>3</v>
      </c>
      <c r="C30" s="3">
        <f>COS(C15)*SIN(C20)/C29</f>
        <v>0</v>
      </c>
    </row>
    <row r="31" spans="1:4" x14ac:dyDescent="0.2">
      <c r="A31" s="1" t="s">
        <v>15</v>
      </c>
      <c r="B31" t="s">
        <v>27</v>
      </c>
      <c r="C31" s="3">
        <f>IF(C30&gt;0.99, 0.99, C30)</f>
        <v>0</v>
      </c>
    </row>
    <row r="32" spans="1:4" x14ac:dyDescent="0.2">
      <c r="A32" s="1" t="s">
        <v>15</v>
      </c>
      <c r="B32" t="s">
        <v>28</v>
      </c>
      <c r="C32" s="3">
        <f>IF(C31&lt;-0.99, -0.99, C31)</f>
        <v>0</v>
      </c>
    </row>
    <row r="33" spans="1:3" x14ac:dyDescent="0.2">
      <c r="A33" s="1" t="s">
        <v>15</v>
      </c>
      <c r="B33" t="s">
        <v>4</v>
      </c>
      <c r="C33" s="3">
        <f>1-C31*C31</f>
        <v>1</v>
      </c>
    </row>
    <row r="34" spans="1:3" x14ac:dyDescent="0.2">
      <c r="A34" s="1" t="s">
        <v>15</v>
      </c>
      <c r="B34" t="s">
        <v>29</v>
      </c>
      <c r="C34" s="3">
        <f>ATAN(C32/C33^0.5)</f>
        <v>0</v>
      </c>
    </row>
    <row r="35" spans="1:3" x14ac:dyDescent="0.2">
      <c r="A35" s="1" t="s">
        <v>15</v>
      </c>
      <c r="B35" t="s">
        <v>48</v>
      </c>
      <c r="C35" s="3">
        <f>IF(C18&lt;0, -3.141592-C34,C34)</f>
        <v>-3.1415920000000002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0.9406807544705672</v>
      </c>
    </row>
    <row r="38" spans="1:3" x14ac:dyDescent="0.2">
      <c r="A38" s="1" t="s">
        <v>32</v>
      </c>
      <c r="B38" t="s">
        <v>30</v>
      </c>
      <c r="C38" s="3">
        <f>C37/C22</f>
        <v>0.99999370498693685</v>
      </c>
    </row>
    <row r="39" spans="1:3" x14ac:dyDescent="0.2">
      <c r="A39" s="1" t="s">
        <v>32</v>
      </c>
      <c r="B39" t="s">
        <v>31</v>
      </c>
      <c r="C39" s="3">
        <f>IF(C38&lt;0, 0, C38)</f>
        <v>0.99999370498693685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13</v>
      </c>
      <c r="D1" s="13" t="s">
        <v>33</v>
      </c>
      <c r="E1" s="12" t="s">
        <v>34</v>
      </c>
    </row>
    <row r="2" spans="1:6" x14ac:dyDescent="0.2">
      <c r="D2" s="18">
        <f>C26</f>
        <v>2143.3454137796548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0.26179933333333338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0.91615887360960491</v>
      </c>
    </row>
    <row r="22" spans="1:4" x14ac:dyDescent="0.2">
      <c r="A22" s="1">
        <v>1049</v>
      </c>
      <c r="B22" t="s">
        <v>1</v>
      </c>
      <c r="C22" s="3">
        <f>IF(C21&gt;0.99, 0.99, C21)</f>
        <v>0.91615887360960491</v>
      </c>
    </row>
    <row r="23" spans="1:4" x14ac:dyDescent="0.2">
      <c r="A23" s="1">
        <v>1080</v>
      </c>
      <c r="B23" t="s">
        <v>39</v>
      </c>
      <c r="C23" s="15">
        <f>1.94*1440*C22*C8^(1/C22)</f>
        <v>2143.3584227583278</v>
      </c>
    </row>
    <row r="24" spans="1:4" x14ac:dyDescent="0.2">
      <c r="A24" s="5" t="s">
        <v>15</v>
      </c>
      <c r="B24" s="6" t="s">
        <v>36</v>
      </c>
      <c r="C24" s="16">
        <f>C23*(1-C9/100)</f>
        <v>2143.3584227583278</v>
      </c>
    </row>
    <row r="25" spans="1:4" x14ac:dyDescent="0.2">
      <c r="A25" s="31"/>
      <c r="B25" s="32" t="s">
        <v>35</v>
      </c>
      <c r="C25" s="33">
        <f>IF(C24&lt;0, 0, C24)</f>
        <v>2143.3584227583278</v>
      </c>
    </row>
    <row r="26" spans="1:4" x14ac:dyDescent="0.2">
      <c r="A26" s="7"/>
      <c r="B26" s="8" t="s">
        <v>49</v>
      </c>
      <c r="C26" s="17">
        <f>C25*C39</f>
        <v>2143.3454137796548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0.40081531695580191</v>
      </c>
    </row>
    <row r="30" spans="1:4" x14ac:dyDescent="0.2">
      <c r="A30" s="1" t="s">
        <v>15</v>
      </c>
      <c r="B30" t="s">
        <v>3</v>
      </c>
      <c r="C30" s="3">
        <f>COS(C15)*SIN(C20)/C29</f>
        <v>0.60678894619153179</v>
      </c>
    </row>
    <row r="31" spans="1:4" x14ac:dyDescent="0.2">
      <c r="A31" s="1" t="s">
        <v>15</v>
      </c>
      <c r="B31" t="s">
        <v>27</v>
      </c>
      <c r="C31" s="3">
        <f>IF(C30&gt;0.99, 0.99, C30)</f>
        <v>0.60678894619153179</v>
      </c>
    </row>
    <row r="32" spans="1:4" x14ac:dyDescent="0.2">
      <c r="A32" s="1" t="s">
        <v>15</v>
      </c>
      <c r="B32" t="s">
        <v>28</v>
      </c>
      <c r="C32" s="3">
        <f>IF(C31&lt;-0.99, -0.99, C31)</f>
        <v>0.60678894619153179</v>
      </c>
    </row>
    <row r="33" spans="1:3" x14ac:dyDescent="0.2">
      <c r="A33" s="1" t="s">
        <v>15</v>
      </c>
      <c r="B33" t="s">
        <v>4</v>
      </c>
      <c r="C33" s="3">
        <f>1-C31*C31</f>
        <v>0.63180717477977033</v>
      </c>
    </row>
    <row r="34" spans="1:3" x14ac:dyDescent="0.2">
      <c r="A34" s="1" t="s">
        <v>15</v>
      </c>
      <c r="B34" t="s">
        <v>29</v>
      </c>
      <c r="C34" s="3">
        <f>ATAN(C32/C33^0.5)</f>
        <v>0.65201457386736505</v>
      </c>
    </row>
    <row r="35" spans="1:3" x14ac:dyDescent="0.2">
      <c r="A35" s="1" t="s">
        <v>15</v>
      </c>
      <c r="B35" t="s">
        <v>48</v>
      </c>
      <c r="C35" s="3">
        <f>IF(C18&lt;0, -3.141592-C34,C34)</f>
        <v>-3.7936065738673652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0.91615331304114322</v>
      </c>
    </row>
    <row r="38" spans="1:3" x14ac:dyDescent="0.2">
      <c r="A38" s="1" t="s">
        <v>32</v>
      </c>
      <c r="B38" t="s">
        <v>30</v>
      </c>
      <c r="C38" s="3">
        <f>C37/C22</f>
        <v>0.99999393056311314</v>
      </c>
    </row>
    <row r="39" spans="1:3" x14ac:dyDescent="0.2">
      <c r="A39" s="1" t="s">
        <v>32</v>
      </c>
      <c r="B39" t="s">
        <v>31</v>
      </c>
      <c r="C39" s="3">
        <f>IF(C38&lt;0, 0, C38)</f>
        <v>0.99999393056311314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14</v>
      </c>
      <c r="D1" s="13" t="s">
        <v>33</v>
      </c>
      <c r="E1" s="12" t="s">
        <v>34</v>
      </c>
    </row>
    <row r="2" spans="1:6" x14ac:dyDescent="0.2">
      <c r="D2" s="18">
        <f>C26</f>
        <v>1945.4901260829449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0.52359866666666677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0.84424699463643205</v>
      </c>
    </row>
    <row r="22" spans="1:4" x14ac:dyDescent="0.2">
      <c r="A22" s="1">
        <v>1049</v>
      </c>
      <c r="B22" t="s">
        <v>1</v>
      </c>
      <c r="C22" s="3">
        <f>IF(C21&gt;0.99, 0.99, C21)</f>
        <v>0.84424699463643205</v>
      </c>
    </row>
    <row r="23" spans="1:4" x14ac:dyDescent="0.2">
      <c r="A23" s="1">
        <v>1080</v>
      </c>
      <c r="B23" t="s">
        <v>39</v>
      </c>
      <c r="C23" s="15">
        <f>1.94*1440*C22*C8^(1/C22)</f>
        <v>1945.5004971005608</v>
      </c>
    </row>
    <row r="24" spans="1:4" x14ac:dyDescent="0.2">
      <c r="A24" s="5" t="s">
        <v>15</v>
      </c>
      <c r="B24" s="6" t="s">
        <v>36</v>
      </c>
      <c r="C24" s="16">
        <f>C23*(1-C9/100)</f>
        <v>1945.5004971005608</v>
      </c>
    </row>
    <row r="25" spans="1:4" x14ac:dyDescent="0.2">
      <c r="A25" s="31"/>
      <c r="B25" s="32" t="s">
        <v>35</v>
      </c>
      <c r="C25" s="33">
        <f>IF(C24&lt;0, 0, C24)</f>
        <v>1945.5004971005608</v>
      </c>
    </row>
    <row r="26" spans="1:4" x14ac:dyDescent="0.2">
      <c r="A26" s="7"/>
      <c r="B26" s="8" t="s">
        <v>49</v>
      </c>
      <c r="C26" s="17">
        <f>C25*C39</f>
        <v>1945.4901260829449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0.53595430033478808</v>
      </c>
    </row>
    <row r="30" spans="1:4" x14ac:dyDescent="0.2">
      <c r="A30" s="1" t="s">
        <v>15</v>
      </c>
      <c r="B30" t="s">
        <v>3</v>
      </c>
      <c r="C30" s="3">
        <f>COS(C15)*SIN(C20)/C29</f>
        <v>0.87665353906122689</v>
      </c>
    </row>
    <row r="31" spans="1:4" x14ac:dyDescent="0.2">
      <c r="A31" s="1" t="s">
        <v>15</v>
      </c>
      <c r="B31" t="s">
        <v>27</v>
      </c>
      <c r="C31" s="3">
        <f>IF(C30&gt;0.99, 0.99, C30)</f>
        <v>0.87665353906122689</v>
      </c>
    </row>
    <row r="32" spans="1:4" x14ac:dyDescent="0.2">
      <c r="A32" s="1" t="s">
        <v>15</v>
      </c>
      <c r="B32" t="s">
        <v>28</v>
      </c>
      <c r="C32" s="3">
        <f>IF(C31&lt;-0.99, -0.99, C31)</f>
        <v>0.87665353906122689</v>
      </c>
    </row>
    <row r="33" spans="1:3" x14ac:dyDescent="0.2">
      <c r="A33" s="1" t="s">
        <v>15</v>
      </c>
      <c r="B33" t="s">
        <v>4</v>
      </c>
      <c r="C33" s="3">
        <f>1-C31*C31</f>
        <v>0.23147857245142589</v>
      </c>
    </row>
    <row r="34" spans="1:3" x14ac:dyDescent="0.2">
      <c r="A34" s="1" t="s">
        <v>15</v>
      </c>
      <c r="B34" t="s">
        <v>29</v>
      </c>
      <c r="C34" s="3">
        <f>ATAN(C32/C33^0.5)</f>
        <v>1.0688619668437906</v>
      </c>
    </row>
    <row r="35" spans="1:3" x14ac:dyDescent="0.2">
      <c r="A35" s="1" t="s">
        <v>15</v>
      </c>
      <c r="B35" t="s">
        <v>48</v>
      </c>
      <c r="C35" s="3">
        <f>IF(C18&lt;0, -3.141592-C34,C34)</f>
        <v>-4.210453966843791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0.84424249414904251</v>
      </c>
    </row>
    <row r="38" spans="1:3" x14ac:dyDescent="0.2">
      <c r="A38" s="1" t="s">
        <v>32</v>
      </c>
      <c r="B38" t="s">
        <v>30</v>
      </c>
      <c r="C38" s="3">
        <f>C37/C22</f>
        <v>0.99999466922900748</v>
      </c>
    </row>
    <row r="39" spans="1:3" x14ac:dyDescent="0.2">
      <c r="A39" s="1" t="s">
        <v>32</v>
      </c>
      <c r="B39" t="s">
        <v>31</v>
      </c>
      <c r="C39" s="3">
        <f>IF(C38&lt;0, 0, C38)</f>
        <v>0.99999466922900748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15</v>
      </c>
      <c r="D1" s="13" t="s">
        <v>33</v>
      </c>
      <c r="E1" s="12" t="s">
        <v>34</v>
      </c>
    </row>
    <row r="2" spans="1:6" x14ac:dyDescent="0.2">
      <c r="D2" s="18">
        <f>C26</f>
        <v>1629.1570554147729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0.78539800000000004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0.72885171287053263</v>
      </c>
    </row>
    <row r="22" spans="1:4" x14ac:dyDescent="0.2">
      <c r="A22" s="1">
        <v>1049</v>
      </c>
      <c r="B22" t="s">
        <v>1</v>
      </c>
      <c r="C22" s="3">
        <f>IF(C21&gt;0.99, 0.99, C21)</f>
        <v>0.72885171287053263</v>
      </c>
    </row>
    <row r="23" spans="1:4" x14ac:dyDescent="0.2">
      <c r="A23" s="1">
        <v>1080</v>
      </c>
      <c r="B23" t="s">
        <v>39</v>
      </c>
      <c r="C23" s="15">
        <f>1.94*1440*C22*C8^(1/C22)</f>
        <v>1629.1634969063623</v>
      </c>
    </row>
    <row r="24" spans="1:4" x14ac:dyDescent="0.2">
      <c r="A24" s="5" t="s">
        <v>15</v>
      </c>
      <c r="B24" s="6" t="s">
        <v>36</v>
      </c>
      <c r="C24" s="16">
        <f>C23*(1-C9/100)</f>
        <v>1629.1634969063623</v>
      </c>
    </row>
    <row r="25" spans="1:4" x14ac:dyDescent="0.2">
      <c r="A25" s="31"/>
      <c r="B25" s="32" t="s">
        <v>35</v>
      </c>
      <c r="C25" s="33">
        <f>IF(C24&lt;0, 0, C24)</f>
        <v>1629.1634969063623</v>
      </c>
    </row>
    <row r="26" spans="1:4" x14ac:dyDescent="0.2">
      <c r="A26" s="7"/>
      <c r="B26" s="8" t="s">
        <v>49</v>
      </c>
      <c r="C26" s="17">
        <f>C25*C39</f>
        <v>1629.1570554147729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0.68467158597804445</v>
      </c>
    </row>
    <row r="30" spans="1:4" x14ac:dyDescent="0.2">
      <c r="A30" s="1" t="s">
        <v>15</v>
      </c>
      <c r="B30" t="s">
        <v>3</v>
      </c>
      <c r="C30" s="3">
        <f>COS(C15)*SIN(C20)/C29</f>
        <v>0.97048416640651392</v>
      </c>
    </row>
    <row r="31" spans="1:4" x14ac:dyDescent="0.2">
      <c r="A31" s="1" t="s">
        <v>15</v>
      </c>
      <c r="B31" t="s">
        <v>27</v>
      </c>
      <c r="C31" s="3">
        <f>IF(C30&gt;0.99, 0.99, C30)</f>
        <v>0.97048416640651392</v>
      </c>
    </row>
    <row r="32" spans="1:4" x14ac:dyDescent="0.2">
      <c r="A32" s="1" t="s">
        <v>15</v>
      </c>
      <c r="B32" t="s">
        <v>28</v>
      </c>
      <c r="C32" s="3">
        <f>IF(C31&lt;-0.99, -0.99, C31)</f>
        <v>0.97048416640651392</v>
      </c>
    </row>
    <row r="33" spans="1:3" x14ac:dyDescent="0.2">
      <c r="A33" s="1" t="s">
        <v>15</v>
      </c>
      <c r="B33" t="s">
        <v>4</v>
      </c>
      <c r="C33" s="3">
        <f>1-C31*C31</f>
        <v>5.8160482754253784E-2</v>
      </c>
    </row>
    <row r="34" spans="1:3" x14ac:dyDescent="0.2">
      <c r="A34" s="1" t="s">
        <v>15</v>
      </c>
      <c r="B34" t="s">
        <v>29</v>
      </c>
      <c r="C34" s="3">
        <f>ATAN(C32/C33^0.5)</f>
        <v>1.3272303817656894</v>
      </c>
    </row>
    <row r="35" spans="1:3" x14ac:dyDescent="0.2">
      <c r="A35" s="1" t="s">
        <v>15</v>
      </c>
      <c r="B35" t="s">
        <v>48</v>
      </c>
      <c r="C35" s="3">
        <f>IF(C18&lt;0, -3.141592-C34,C34)</f>
        <v>-4.4688223817656896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0.72884883108967558</v>
      </c>
    </row>
    <row r="38" spans="1:3" x14ac:dyDescent="0.2">
      <c r="A38" s="1" t="s">
        <v>32</v>
      </c>
      <c r="B38" t="s">
        <v>30</v>
      </c>
      <c r="C38" s="3">
        <f>C37/C22</f>
        <v>0.99999604613557713</v>
      </c>
    </row>
    <row r="39" spans="1:3" x14ac:dyDescent="0.2">
      <c r="A39" s="1" t="s">
        <v>32</v>
      </c>
      <c r="B39" t="s">
        <v>31</v>
      </c>
      <c r="C39" s="3">
        <f>IF(C38&lt;0, 0, C38)</f>
        <v>0.99999604613557713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16</v>
      </c>
      <c r="D1" s="13" t="s">
        <v>33</v>
      </c>
      <c r="E1" s="12" t="s">
        <v>34</v>
      </c>
    </row>
    <row r="2" spans="1:6" x14ac:dyDescent="0.2">
      <c r="D2" s="18">
        <f>C26</f>
        <v>1223.7074263688617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1.0471973333333335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0.57976887449189873</v>
      </c>
    </row>
    <row r="22" spans="1:4" x14ac:dyDescent="0.2">
      <c r="A22" s="1">
        <v>1049</v>
      </c>
      <c r="B22" t="s">
        <v>1</v>
      </c>
      <c r="C22" s="3">
        <f>IF(C21&gt;0.99, 0.99, C21)</f>
        <v>0.57976887449189873</v>
      </c>
    </row>
    <row r="23" spans="1:4" x14ac:dyDescent="0.2">
      <c r="A23" s="1">
        <v>1080</v>
      </c>
      <c r="B23" t="s">
        <v>39</v>
      </c>
      <c r="C23" s="15">
        <f>1.94*1440*C22*C8^(1/C22)</f>
        <v>1223.7116602319993</v>
      </c>
    </row>
    <row r="24" spans="1:4" x14ac:dyDescent="0.2">
      <c r="A24" s="5" t="s">
        <v>15</v>
      </c>
      <c r="B24" s="6" t="s">
        <v>36</v>
      </c>
      <c r="C24" s="16">
        <f>C23*(1-C9/100)</f>
        <v>1223.7116602319993</v>
      </c>
    </row>
    <row r="25" spans="1:4" x14ac:dyDescent="0.2">
      <c r="A25" s="31"/>
      <c r="B25" s="32" t="s">
        <v>35</v>
      </c>
      <c r="C25" s="33">
        <f>IF(C24&lt;0, 0, C24)</f>
        <v>1223.7116602319993</v>
      </c>
    </row>
    <row r="26" spans="1:4" x14ac:dyDescent="0.2">
      <c r="A26" s="7"/>
      <c r="B26" s="8" t="s">
        <v>49</v>
      </c>
      <c r="C26" s="17">
        <f>C25*C39</f>
        <v>1223.7074263688617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0.81478098417329126</v>
      </c>
    </row>
    <row r="30" spans="1:4" x14ac:dyDescent="0.2">
      <c r="A30" s="1" t="s">
        <v>15</v>
      </c>
      <c r="B30" t="s">
        <v>3</v>
      </c>
      <c r="C30" s="3">
        <f>COS(C15)*SIN(C20)/C29</f>
        <v>0.99879306992300565</v>
      </c>
    </row>
    <row r="31" spans="1:4" x14ac:dyDescent="0.2">
      <c r="A31" s="1" t="s">
        <v>15</v>
      </c>
      <c r="B31" t="s">
        <v>27</v>
      </c>
      <c r="C31" s="3">
        <f>IF(C30&gt;0.99, 0.99, C30)</f>
        <v>0.99</v>
      </c>
    </row>
    <row r="32" spans="1:4" x14ac:dyDescent="0.2">
      <c r="A32" s="1" t="s">
        <v>15</v>
      </c>
      <c r="B32" t="s">
        <v>28</v>
      </c>
      <c r="C32" s="3">
        <f>IF(C31&lt;-0.99, -0.99, C31)</f>
        <v>0.99</v>
      </c>
    </row>
    <row r="33" spans="1:3" x14ac:dyDescent="0.2">
      <c r="A33" s="1" t="s">
        <v>15</v>
      </c>
      <c r="B33" t="s">
        <v>4</v>
      </c>
      <c r="C33" s="3">
        <f>1-C31*C31</f>
        <v>1.9900000000000029E-2</v>
      </c>
    </row>
    <row r="34" spans="1:3" x14ac:dyDescent="0.2">
      <c r="A34" s="1" t="s">
        <v>15</v>
      </c>
      <c r="B34" t="s">
        <v>29</v>
      </c>
      <c r="C34" s="3">
        <f>ATAN(C32/C33^0.5)</f>
        <v>1.4292568534704693</v>
      </c>
    </row>
    <row r="35" spans="1:3" x14ac:dyDescent="0.2">
      <c r="A35" s="1" t="s">
        <v>15</v>
      </c>
      <c r="B35" t="s">
        <v>48</v>
      </c>
      <c r="C35" s="3">
        <f>IF(C18&lt;0, -3.141592-C34,C34)</f>
        <v>-4.5708488534704692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0.5797668685764974</v>
      </c>
    </row>
    <row r="38" spans="1:3" x14ac:dyDescent="0.2">
      <c r="A38" s="1" t="s">
        <v>32</v>
      </c>
      <c r="B38" t="s">
        <v>30</v>
      </c>
      <c r="C38" s="3">
        <f>C37/C22</f>
        <v>0.99999654014644523</v>
      </c>
    </row>
    <row r="39" spans="1:3" x14ac:dyDescent="0.2">
      <c r="A39" s="1" t="s">
        <v>32</v>
      </c>
      <c r="B39" t="s">
        <v>31</v>
      </c>
      <c r="C39" s="3">
        <f>IF(C38&lt;0, 0, C38)</f>
        <v>0.99999654014644523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F108-F31A-2E4C-801D-BFE50F6CE5D5}">
  <dimension ref="A2:K23"/>
  <sheetViews>
    <sheetView zoomScale="167" zoomScaleNormal="167" workbookViewId="0">
      <selection activeCell="D3" sqref="D3"/>
    </sheetView>
  </sheetViews>
  <sheetFormatPr baseColWidth="10" defaultRowHeight="16" x14ac:dyDescent="0.2"/>
  <cols>
    <col min="1" max="9" width="13.5" style="53" customWidth="1"/>
    <col min="10" max="11" width="13.5" style="19" customWidth="1"/>
  </cols>
  <sheetData>
    <row r="2" spans="1:4" x14ac:dyDescent="0.2">
      <c r="B2" s="54" t="s">
        <v>81</v>
      </c>
      <c r="C2" s="53" t="s">
        <v>75</v>
      </c>
    </row>
    <row r="3" spans="1:4" x14ac:dyDescent="0.2">
      <c r="A3" s="53" t="s">
        <v>82</v>
      </c>
      <c r="B3" s="54">
        <v>0</v>
      </c>
      <c r="C3" s="58">
        <f>(B3*$A$4)/(B3+$A$8)-$A$6</f>
        <v>-3</v>
      </c>
      <c r="D3" s="58">
        <f>(B3*40)/(B3+400)-3</f>
        <v>-3</v>
      </c>
    </row>
    <row r="4" spans="1:4" x14ac:dyDescent="0.2">
      <c r="A4" s="53">
        <v>40</v>
      </c>
      <c r="B4" s="54">
        <v>100</v>
      </c>
      <c r="C4" s="58">
        <f t="shared" ref="C4:C23" si="0">(B4*$A$4)/(B4+$A$8)-$A$6</f>
        <v>5</v>
      </c>
    </row>
    <row r="5" spans="1:4" x14ac:dyDescent="0.2">
      <c r="A5" s="53" t="s">
        <v>80</v>
      </c>
      <c r="B5" s="54">
        <v>200</v>
      </c>
      <c r="C5" s="58">
        <f t="shared" si="0"/>
        <v>10.333333333333334</v>
      </c>
    </row>
    <row r="6" spans="1:4" x14ac:dyDescent="0.2">
      <c r="A6" s="53">
        <v>3</v>
      </c>
      <c r="B6" s="54">
        <v>300</v>
      </c>
      <c r="C6" s="58">
        <f t="shared" si="0"/>
        <v>14.142857142857142</v>
      </c>
    </row>
    <row r="7" spans="1:4" x14ac:dyDescent="0.2">
      <c r="A7" s="53" t="s">
        <v>83</v>
      </c>
      <c r="B7" s="54">
        <v>400</v>
      </c>
      <c r="C7" s="58">
        <f t="shared" si="0"/>
        <v>17</v>
      </c>
    </row>
    <row r="8" spans="1:4" x14ac:dyDescent="0.2">
      <c r="A8" s="53">
        <v>400</v>
      </c>
      <c r="B8" s="54">
        <v>500</v>
      </c>
      <c r="C8" s="58">
        <f t="shared" si="0"/>
        <v>19.222222222222221</v>
      </c>
    </row>
    <row r="9" spans="1:4" x14ac:dyDescent="0.2">
      <c r="B9" s="54">
        <v>600</v>
      </c>
      <c r="C9" s="58">
        <f t="shared" si="0"/>
        <v>21</v>
      </c>
    </row>
    <row r="10" spans="1:4" x14ac:dyDescent="0.2">
      <c r="B10" s="54">
        <v>700</v>
      </c>
      <c r="C10" s="58">
        <f t="shared" si="0"/>
        <v>22.454545454545453</v>
      </c>
    </row>
    <row r="11" spans="1:4" x14ac:dyDescent="0.2">
      <c r="B11" s="54">
        <v>800</v>
      </c>
      <c r="C11" s="58">
        <f t="shared" si="0"/>
        <v>23.666666666666668</v>
      </c>
    </row>
    <row r="12" spans="1:4" x14ac:dyDescent="0.2">
      <c r="B12" s="54">
        <v>900</v>
      </c>
      <c r="C12" s="58">
        <f t="shared" si="0"/>
        <v>24.692307692307693</v>
      </c>
    </row>
    <row r="13" spans="1:4" x14ac:dyDescent="0.2">
      <c r="B13" s="54">
        <v>1000</v>
      </c>
      <c r="C13" s="58">
        <f t="shared" si="0"/>
        <v>25.571428571428573</v>
      </c>
    </row>
    <row r="14" spans="1:4" x14ac:dyDescent="0.2">
      <c r="B14" s="54">
        <v>1100</v>
      </c>
      <c r="C14" s="58">
        <f t="shared" si="0"/>
        <v>26.333333333333332</v>
      </c>
    </row>
    <row r="15" spans="1:4" x14ac:dyDescent="0.2">
      <c r="B15" s="54">
        <v>1200</v>
      </c>
      <c r="C15" s="58">
        <f t="shared" si="0"/>
        <v>27</v>
      </c>
    </row>
    <row r="16" spans="1:4" x14ac:dyDescent="0.2">
      <c r="B16" s="54">
        <v>1300</v>
      </c>
      <c r="C16" s="58">
        <f t="shared" si="0"/>
        <v>27.588235294117649</v>
      </c>
    </row>
    <row r="17" spans="2:3" x14ac:dyDescent="0.2">
      <c r="B17" s="54">
        <v>1400</v>
      </c>
      <c r="C17" s="58">
        <f t="shared" si="0"/>
        <v>28.111111111111111</v>
      </c>
    </row>
    <row r="18" spans="2:3" x14ac:dyDescent="0.2">
      <c r="B18" s="54">
        <v>1500</v>
      </c>
      <c r="C18" s="58">
        <f t="shared" si="0"/>
        <v>28.578947368421051</v>
      </c>
    </row>
    <row r="19" spans="2:3" x14ac:dyDescent="0.2">
      <c r="B19" s="54">
        <v>1600</v>
      </c>
      <c r="C19" s="58">
        <f t="shared" si="0"/>
        <v>29</v>
      </c>
    </row>
    <row r="20" spans="2:3" x14ac:dyDescent="0.2">
      <c r="B20" s="54">
        <v>1700</v>
      </c>
      <c r="C20" s="58">
        <f t="shared" si="0"/>
        <v>29.38095238095238</v>
      </c>
    </row>
    <row r="21" spans="2:3" x14ac:dyDescent="0.2">
      <c r="B21" s="54">
        <v>1800</v>
      </c>
      <c r="C21" s="58">
        <f t="shared" si="0"/>
        <v>29.727272727272727</v>
      </c>
    </row>
    <row r="22" spans="2:3" x14ac:dyDescent="0.2">
      <c r="B22" s="54">
        <v>1900</v>
      </c>
      <c r="C22" s="58">
        <f t="shared" si="0"/>
        <v>30.043478260869563</v>
      </c>
    </row>
    <row r="23" spans="2:3" x14ac:dyDescent="0.2">
      <c r="B23" s="54">
        <v>2000</v>
      </c>
      <c r="C23" s="58">
        <f t="shared" si="0"/>
        <v>30.333333333333336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17</v>
      </c>
      <c r="D1" s="13" t="s">
        <v>33</v>
      </c>
      <c r="E1" s="12" t="s">
        <v>34</v>
      </c>
    </row>
    <row r="2" spans="1:6" x14ac:dyDescent="0.2">
      <c r="D2" s="18">
        <f>C26</f>
        <v>760.46596427289614</v>
      </c>
      <c r="E2" s="17">
        <v>17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1.3089966666666668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0.40615822436181664</v>
      </c>
    </row>
    <row r="22" spans="1:4" x14ac:dyDescent="0.2">
      <c r="A22" s="1">
        <v>1049</v>
      </c>
      <c r="B22" t="s">
        <v>1</v>
      </c>
      <c r="C22" s="3">
        <f>IF(C21&gt;0.99, 0.99, C21)</f>
        <v>0.40615822436181664</v>
      </c>
    </row>
    <row r="23" spans="1:4" x14ac:dyDescent="0.2">
      <c r="A23" s="1">
        <v>1080</v>
      </c>
      <c r="B23" t="s">
        <v>39</v>
      </c>
      <c r="C23" s="15">
        <f>1.94*1440*C22*C8^(1/C22)</f>
        <v>760.47017642412948</v>
      </c>
    </row>
    <row r="24" spans="1:4" x14ac:dyDescent="0.2">
      <c r="A24" s="5" t="s">
        <v>15</v>
      </c>
      <c r="B24" s="6" t="s">
        <v>36</v>
      </c>
      <c r="C24" s="16">
        <f>C23*(1-C9/100)</f>
        <v>760.47017642412948</v>
      </c>
    </row>
    <row r="25" spans="1:4" x14ac:dyDescent="0.2">
      <c r="A25" s="31"/>
      <c r="B25" s="32" t="s">
        <v>35</v>
      </c>
      <c r="C25" s="33">
        <f>IF(C24&lt;0, 0, C24)</f>
        <v>760.47017642412948</v>
      </c>
    </row>
    <row r="26" spans="1:4" x14ac:dyDescent="0.2">
      <c r="A26" s="7"/>
      <c r="B26" s="8" t="s">
        <v>49</v>
      </c>
      <c r="C26" s="17">
        <f>C25*C39</f>
        <v>760.46596427289614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0.91380276689406903</v>
      </c>
    </row>
    <row r="30" spans="1:4" x14ac:dyDescent="0.2">
      <c r="A30" s="1" t="s">
        <v>15</v>
      </c>
      <c r="B30" t="s">
        <v>3</v>
      </c>
      <c r="C30" s="3">
        <f>COS(C15)*SIN(C20)/C29</f>
        <v>0.9932923841254313</v>
      </c>
    </row>
    <row r="31" spans="1:4" x14ac:dyDescent="0.2">
      <c r="A31" s="1" t="s">
        <v>15</v>
      </c>
      <c r="B31" t="s">
        <v>27</v>
      </c>
      <c r="C31" s="3">
        <f>IF(C30&gt;0.99, 0.99, C30)</f>
        <v>0.99</v>
      </c>
    </row>
    <row r="32" spans="1:4" x14ac:dyDescent="0.2">
      <c r="A32" s="1" t="s">
        <v>15</v>
      </c>
      <c r="B32" t="s">
        <v>28</v>
      </c>
      <c r="C32" s="3">
        <f>IF(C31&lt;-0.99, -0.99, C31)</f>
        <v>0.99</v>
      </c>
    </row>
    <row r="33" spans="1:3" x14ac:dyDescent="0.2">
      <c r="A33" s="1" t="s">
        <v>15</v>
      </c>
      <c r="B33" t="s">
        <v>4</v>
      </c>
      <c r="C33" s="3">
        <f>1-C31*C31</f>
        <v>1.9900000000000029E-2</v>
      </c>
    </row>
    <row r="34" spans="1:3" x14ac:dyDescent="0.2">
      <c r="A34" s="1" t="s">
        <v>15</v>
      </c>
      <c r="B34" t="s">
        <v>29</v>
      </c>
      <c r="C34" s="3">
        <f>ATAN(C32/C33^0.5)</f>
        <v>1.4292568534704693</v>
      </c>
    </row>
    <row r="35" spans="1:3" x14ac:dyDescent="0.2">
      <c r="A35" s="1" t="s">
        <v>15</v>
      </c>
      <c r="B35" t="s">
        <v>48</v>
      </c>
      <c r="C35" s="3">
        <f>IF(C18&lt;0, -3.141592-C34,C34)</f>
        <v>-4.5708488534704692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0.40615597470112158</v>
      </c>
    </row>
    <row r="38" spans="1:3" x14ac:dyDescent="0.2">
      <c r="A38" s="1" t="s">
        <v>32</v>
      </c>
      <c r="B38" t="s">
        <v>30</v>
      </c>
      <c r="C38" s="3">
        <f>C37/C22</f>
        <v>0.99999446112238988</v>
      </c>
    </row>
    <row r="39" spans="1:3" x14ac:dyDescent="0.2">
      <c r="A39" s="1" t="s">
        <v>32</v>
      </c>
      <c r="B39" t="s">
        <v>31</v>
      </c>
      <c r="C39" s="3">
        <f>IF(C38&lt;0, 0, C38)</f>
        <v>0.99999446112238988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8" sqref="C28"/>
      <selection pane="bottomLeft" activeCell="C28" sqref="C28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18</v>
      </c>
      <c r="D1" s="13" t="s">
        <v>33</v>
      </c>
      <c r="E1" s="12" t="s">
        <v>34</v>
      </c>
    </row>
    <row r="2" spans="1:6" x14ac:dyDescent="0.2">
      <c r="D2" s="18">
        <f>C26</f>
        <v>293.25353988671048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1.5707960000000001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0.21985103648678112</v>
      </c>
    </row>
    <row r="22" spans="1:4" x14ac:dyDescent="0.2">
      <c r="A22" s="1">
        <v>1049</v>
      </c>
      <c r="B22" t="s">
        <v>1</v>
      </c>
      <c r="C22" s="3">
        <f>IF(C21&gt;0.99, 0.99, C21)</f>
        <v>0.21985103648678112</v>
      </c>
    </row>
    <row r="23" spans="1:4" x14ac:dyDescent="0.2">
      <c r="A23" s="1">
        <v>1080</v>
      </c>
      <c r="B23" t="s">
        <v>39</v>
      </c>
      <c r="C23" s="15">
        <f>1.94*1440*C22*C8^(1/C22)</f>
        <v>293.25963914460453</v>
      </c>
    </row>
    <row r="24" spans="1:4" x14ac:dyDescent="0.2">
      <c r="A24" s="5" t="s">
        <v>15</v>
      </c>
      <c r="B24" s="6" t="s">
        <v>36</v>
      </c>
      <c r="C24" s="16">
        <f>C23*(1-C9/100)</f>
        <v>293.25963914460453</v>
      </c>
    </row>
    <row r="25" spans="1:4" x14ac:dyDescent="0.2">
      <c r="A25" s="31"/>
      <c r="B25" s="32" t="s">
        <v>35</v>
      </c>
      <c r="C25" s="33">
        <f>IF(C24&lt;0, 0, C24)</f>
        <v>293.25963914460453</v>
      </c>
    </row>
    <row r="26" spans="1:4" x14ac:dyDescent="0.2">
      <c r="A26" s="7"/>
      <c r="B26" s="8" t="s">
        <v>49</v>
      </c>
      <c r="C26" s="17">
        <f>C25*C39</f>
        <v>293.25353988671048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0.97553345496486588</v>
      </c>
    </row>
    <row r="30" spans="1:4" x14ac:dyDescent="0.2">
      <c r="A30" s="1" t="s">
        <v>15</v>
      </c>
      <c r="B30" t="s">
        <v>3</v>
      </c>
      <c r="C30" s="3">
        <f>COS(C15)*SIN(C20)/C29</f>
        <v>0.96326029706236371</v>
      </c>
    </row>
    <row r="31" spans="1:4" x14ac:dyDescent="0.2">
      <c r="A31" s="1" t="s">
        <v>15</v>
      </c>
      <c r="B31" t="s">
        <v>27</v>
      </c>
      <c r="C31" s="3">
        <f>IF(C30&gt;0.99, 0.99, C30)</f>
        <v>0.96326029706236371</v>
      </c>
    </row>
    <row r="32" spans="1:4" x14ac:dyDescent="0.2">
      <c r="A32" s="1" t="s">
        <v>15</v>
      </c>
      <c r="B32" t="s">
        <v>28</v>
      </c>
      <c r="C32" s="3">
        <f>IF(C31&lt;-0.99, -0.99, C31)</f>
        <v>0.96326029706236371</v>
      </c>
    </row>
    <row r="33" spans="1:3" x14ac:dyDescent="0.2">
      <c r="A33" s="1" t="s">
        <v>15</v>
      </c>
      <c r="B33" t="s">
        <v>4</v>
      </c>
      <c r="C33" s="3">
        <f>1-C31*C31</f>
        <v>7.2129600103326807E-2</v>
      </c>
    </row>
    <row r="34" spans="1:3" x14ac:dyDescent="0.2">
      <c r="A34" s="1" t="s">
        <v>15</v>
      </c>
      <c r="B34" t="s">
        <v>29</v>
      </c>
      <c r="C34" s="3">
        <f>ATAN(C32/C33^0.5)</f>
        <v>1.2988886181717263</v>
      </c>
    </row>
    <row r="35" spans="1:3" x14ac:dyDescent="0.2">
      <c r="A35" s="1" t="s">
        <v>15</v>
      </c>
      <c r="B35" t="s">
        <v>48</v>
      </c>
      <c r="C35" s="3">
        <f>IF(C18&lt;0, -3.141592-C34,C34)</f>
        <v>-4.4404806181717262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0.21984646399199897</v>
      </c>
    </row>
    <row r="38" spans="1:3" x14ac:dyDescent="0.2">
      <c r="A38" s="1" t="s">
        <v>32</v>
      </c>
      <c r="B38" t="s">
        <v>30</v>
      </c>
      <c r="C38" s="3">
        <f>C37/C22</f>
        <v>0.99997920185023814</v>
      </c>
    </row>
    <row r="39" spans="1:3" x14ac:dyDescent="0.2">
      <c r="A39" s="1" t="s">
        <v>32</v>
      </c>
      <c r="B39" t="s">
        <v>31</v>
      </c>
      <c r="C39" s="3">
        <f>IF(C38&lt;0, 0, C38)</f>
        <v>0.99997920185023814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8" sqref="C28"/>
      <selection pane="bottomLeft" activeCell="C28" sqref="C28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19</v>
      </c>
      <c r="D1" s="13" t="s">
        <v>33</v>
      </c>
      <c r="E1" s="12" t="s">
        <v>34</v>
      </c>
    </row>
    <row r="2" spans="1:6" x14ac:dyDescent="0.2">
      <c r="D2" s="18">
        <f>C26</f>
        <v>0.73711926760541946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1.8325953333333336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3.35438325806241E-2</v>
      </c>
    </row>
    <row r="22" spans="1:4" x14ac:dyDescent="0.2">
      <c r="A22" s="1">
        <v>1049</v>
      </c>
      <c r="B22" t="s">
        <v>1</v>
      </c>
      <c r="C22" s="3">
        <f>IF(C21&gt;0.99, 0.99, C21)</f>
        <v>3.35438325806241E-2</v>
      </c>
    </row>
    <row r="23" spans="1:4" x14ac:dyDescent="0.2">
      <c r="A23" s="1">
        <v>1080</v>
      </c>
      <c r="B23" t="s">
        <v>39</v>
      </c>
      <c r="C23" s="15">
        <f>1.94*1440*C22*C8^(1/C22)</f>
        <v>0.7372797416961705</v>
      </c>
    </row>
    <row r="24" spans="1:4" x14ac:dyDescent="0.2">
      <c r="A24" s="5" t="s">
        <v>15</v>
      </c>
      <c r="B24" s="6" t="s">
        <v>36</v>
      </c>
      <c r="C24" s="16">
        <f>C23*(1-C9/100)</f>
        <v>0.7372797416961705</v>
      </c>
    </row>
    <row r="25" spans="1:4" x14ac:dyDescent="0.2">
      <c r="A25" s="31"/>
      <c r="B25" s="32" t="s">
        <v>35</v>
      </c>
      <c r="C25" s="33">
        <f>IF(C24&lt;0, 0, C24)</f>
        <v>0.7372797416961705</v>
      </c>
    </row>
    <row r="26" spans="1:4" x14ac:dyDescent="0.2">
      <c r="A26" s="7"/>
      <c r="B26" s="8" t="s">
        <v>49</v>
      </c>
      <c r="C26" s="17">
        <f>C25*C39</f>
        <v>0.73711926760541946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0.99943724730260231</v>
      </c>
    </row>
    <row r="30" spans="1:4" x14ac:dyDescent="0.2">
      <c r="A30" s="1" t="s">
        <v>15</v>
      </c>
      <c r="B30" t="s">
        <v>3</v>
      </c>
      <c r="C30" s="3">
        <f>COS(C15)*SIN(C20)/C29</f>
        <v>0.90818457122558993</v>
      </c>
    </row>
    <row r="31" spans="1:4" x14ac:dyDescent="0.2">
      <c r="A31" s="1" t="s">
        <v>15</v>
      </c>
      <c r="B31" t="s">
        <v>27</v>
      </c>
      <c r="C31" s="3">
        <f>IF(C30&gt;0.99, 0.99, C30)</f>
        <v>0.90818457122558993</v>
      </c>
    </row>
    <row r="32" spans="1:4" x14ac:dyDescent="0.2">
      <c r="A32" s="1" t="s">
        <v>15</v>
      </c>
      <c r="B32" t="s">
        <v>28</v>
      </c>
      <c r="C32" s="3">
        <f>IF(C31&lt;-0.99, -0.99, C31)</f>
        <v>0.90818457122558993</v>
      </c>
    </row>
    <row r="33" spans="1:3" x14ac:dyDescent="0.2">
      <c r="A33" s="1" t="s">
        <v>15</v>
      </c>
      <c r="B33" t="s">
        <v>4</v>
      </c>
      <c r="C33" s="3">
        <f>1-C31*C31</f>
        <v>0.17520078458779131</v>
      </c>
    </row>
    <row r="34" spans="1:3" x14ac:dyDescent="0.2">
      <c r="A34" s="1" t="s">
        <v>15</v>
      </c>
      <c r="B34" t="s">
        <v>29</v>
      </c>
      <c r="C34" s="3">
        <f>ATAN(C32/C33^0.5)</f>
        <v>1.1389262283110209</v>
      </c>
    </row>
    <row r="35" spans="1:3" x14ac:dyDescent="0.2">
      <c r="A35" s="1" t="s">
        <v>15</v>
      </c>
      <c r="B35" t="s">
        <v>48</v>
      </c>
      <c r="C35" s="3">
        <f>IF(C18&lt;0, -3.141592-C34,C34)</f>
        <v>-4.2805182283110206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3.3536531530928504E-2</v>
      </c>
    </row>
    <row r="38" spans="1:3" x14ac:dyDescent="0.2">
      <c r="A38" s="1" t="s">
        <v>32</v>
      </c>
      <c r="B38" t="s">
        <v>30</v>
      </c>
      <c r="C38" s="3">
        <f>C37/C22</f>
        <v>0.99978234300812086</v>
      </c>
    </row>
    <row r="39" spans="1:3" x14ac:dyDescent="0.2">
      <c r="A39" s="1" t="s">
        <v>32</v>
      </c>
      <c r="B39" t="s">
        <v>31</v>
      </c>
      <c r="C39" s="3">
        <f>IF(C38&lt;0, 0, C38)</f>
        <v>0.99978234300812086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8" sqref="C28"/>
      <selection pane="bottomLeft" activeCell="C28" sqref="C28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20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2.0943946666666671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-0.14006686455032824</v>
      </c>
    </row>
    <row r="22" spans="1:4" x14ac:dyDescent="0.2">
      <c r="A22" s="1">
        <v>1049</v>
      </c>
      <c r="B22" t="s">
        <v>1</v>
      </c>
      <c r="C22" s="3">
        <f>IF(C21&gt;0.99, 0.99, C21)</f>
        <v>-0.14006686455032824</v>
      </c>
    </row>
    <row r="23" spans="1:4" x14ac:dyDescent="0.2">
      <c r="A23" s="1">
        <v>1080</v>
      </c>
      <c r="B23" t="s">
        <v>39</v>
      </c>
      <c r="C23" s="15">
        <f>1.94*1440*C22*C8^(1/C22)</f>
        <v>-1248.5602094489125</v>
      </c>
    </row>
    <row r="24" spans="1:4" x14ac:dyDescent="0.2">
      <c r="A24" s="5" t="s">
        <v>15</v>
      </c>
      <c r="B24" s="6" t="s">
        <v>36</v>
      </c>
      <c r="C24" s="16">
        <f>C23*(1-C9/100)</f>
        <v>-1248.5602094489125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0.99014204710992859</v>
      </c>
    </row>
    <row r="30" spans="1:4" x14ac:dyDescent="0.2">
      <c r="A30" s="1" t="s">
        <v>15</v>
      </c>
      <c r="B30" t="s">
        <v>3</v>
      </c>
      <c r="C30" s="3">
        <f>COS(C15)*SIN(C20)/C29</f>
        <v>0.82190016064804272</v>
      </c>
    </row>
    <row r="31" spans="1:4" x14ac:dyDescent="0.2">
      <c r="A31" s="1" t="s">
        <v>15</v>
      </c>
      <c r="B31" t="s">
        <v>27</v>
      </c>
      <c r="C31" s="3">
        <f>IF(C30&gt;0.99, 0.99, C30)</f>
        <v>0.82190016064804272</v>
      </c>
    </row>
    <row r="32" spans="1:4" x14ac:dyDescent="0.2">
      <c r="A32" s="1" t="s">
        <v>15</v>
      </c>
      <c r="B32" t="s">
        <v>28</v>
      </c>
      <c r="C32" s="3">
        <f>IF(C31&lt;-0.99, -0.99, C31)</f>
        <v>0.82190016064804272</v>
      </c>
    </row>
    <row r="33" spans="1:3" x14ac:dyDescent="0.2">
      <c r="A33" s="1" t="s">
        <v>15</v>
      </c>
      <c r="B33" t="s">
        <v>4</v>
      </c>
      <c r="C33" s="3">
        <f>1-C31*C31</f>
        <v>0.3244801259267216</v>
      </c>
    </row>
    <row r="34" spans="1:3" x14ac:dyDescent="0.2">
      <c r="A34" s="1" t="s">
        <v>15</v>
      </c>
      <c r="B34" t="s">
        <v>29</v>
      </c>
      <c r="C34" s="3">
        <f>ATAN(C32/C33^0.5)</f>
        <v>0.96473880696414505</v>
      </c>
    </row>
    <row r="35" spans="1:3" x14ac:dyDescent="0.2">
      <c r="A35" s="1" t="s">
        <v>15</v>
      </c>
      <c r="B35" t="s">
        <v>48</v>
      </c>
      <c r="C35" s="3">
        <f>IF(C18&lt;0, -3.141592-C34,C34)</f>
        <v>-4.1063308069641451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-0.14007670822751753</v>
      </c>
    </row>
    <row r="38" spans="1:3" x14ac:dyDescent="0.2">
      <c r="A38" s="1" t="s">
        <v>32</v>
      </c>
      <c r="B38" t="s">
        <v>30</v>
      </c>
      <c r="C38" s="3">
        <f>C37/C22</f>
        <v>1.0000702784146764</v>
      </c>
    </row>
    <row r="39" spans="1:3" x14ac:dyDescent="0.2">
      <c r="A39" s="1" t="s">
        <v>32</v>
      </c>
      <c r="B39" t="s">
        <v>31</v>
      </c>
      <c r="C39" s="3">
        <f>IF(C38&lt;0, 0, C38)</f>
        <v>1.0000702784146764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8" sqref="C28"/>
      <selection pane="bottomLeft" activeCell="C28" sqref="C28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21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2.3561940000000003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-0.28914977769655048</v>
      </c>
    </row>
    <row r="22" spans="1:4" x14ac:dyDescent="0.2">
      <c r="A22" s="1">
        <v>1049</v>
      </c>
      <c r="B22" t="s">
        <v>1</v>
      </c>
      <c r="C22" s="3">
        <f>IF(C21&gt;0.99, 0.99, C21)</f>
        <v>-0.28914977769655048</v>
      </c>
    </row>
    <row r="23" spans="1:4" x14ac:dyDescent="0.2">
      <c r="A23" s="1">
        <v>1080</v>
      </c>
      <c r="B23" t="s">
        <v>39</v>
      </c>
      <c r="C23" s="15">
        <f>1.94*1440*C22*C8^(1/C22)</f>
        <v>-1417.0518724216049</v>
      </c>
    </row>
    <row r="24" spans="1:4" x14ac:dyDescent="0.2">
      <c r="A24" s="5" t="s">
        <v>15</v>
      </c>
      <c r="B24" s="6" t="s">
        <v>36</v>
      </c>
      <c r="C24" s="16">
        <f>C23*(1-C9/100)</f>
        <v>-1417.0518724216049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0.95728386910990793</v>
      </c>
    </row>
    <row r="30" spans="1:4" x14ac:dyDescent="0.2">
      <c r="A30" s="1" t="s">
        <v>15</v>
      </c>
      <c r="B30" t="s">
        <v>3</v>
      </c>
      <c r="C30" s="3">
        <f>COS(C15)*SIN(C20)/C29</f>
        <v>0.69411319787947956</v>
      </c>
    </row>
    <row r="31" spans="1:4" x14ac:dyDescent="0.2">
      <c r="A31" s="1" t="s">
        <v>15</v>
      </c>
      <c r="B31" t="s">
        <v>27</v>
      </c>
      <c r="C31" s="3">
        <f>IF(C30&gt;0.99, 0.99, C30)</f>
        <v>0.69411319787947956</v>
      </c>
    </row>
    <row r="32" spans="1:4" x14ac:dyDescent="0.2">
      <c r="A32" s="1" t="s">
        <v>15</v>
      </c>
      <c r="B32" t="s">
        <v>28</v>
      </c>
      <c r="C32" s="3">
        <f>IF(C31&lt;-0.99, -0.99, C31)</f>
        <v>0.69411319787947956</v>
      </c>
    </row>
    <row r="33" spans="1:3" x14ac:dyDescent="0.2">
      <c r="A33" s="1" t="s">
        <v>15</v>
      </c>
      <c r="B33" t="s">
        <v>4</v>
      </c>
      <c r="C33" s="3">
        <f>1-C31*C31</f>
        <v>0.51820686852952247</v>
      </c>
    </row>
    <row r="34" spans="1:3" x14ac:dyDescent="0.2">
      <c r="A34" s="1" t="s">
        <v>15</v>
      </c>
      <c r="B34" t="s">
        <v>29</v>
      </c>
      <c r="C34" s="3">
        <f>ATAN(C32/C33^0.5)</f>
        <v>0.76718726886790645</v>
      </c>
    </row>
    <row r="35" spans="1:3" x14ac:dyDescent="0.2">
      <c r="A35" s="1" t="s">
        <v>15</v>
      </c>
      <c r="B35" t="s">
        <v>48</v>
      </c>
      <c r="C35" s="3">
        <f>IF(C18&lt;0, -3.141592-C34,C34)</f>
        <v>-3.9087792688679066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-0.28916180479802356</v>
      </c>
    </row>
    <row r="38" spans="1:3" x14ac:dyDescent="0.2">
      <c r="A38" s="1" t="s">
        <v>32</v>
      </c>
      <c r="B38" t="s">
        <v>30</v>
      </c>
      <c r="C38" s="3">
        <f>C37/C22</f>
        <v>1.0000415947111179</v>
      </c>
    </row>
    <row r="39" spans="1:3" x14ac:dyDescent="0.2">
      <c r="A39" s="1" t="s">
        <v>32</v>
      </c>
      <c r="B39" t="s">
        <v>31</v>
      </c>
      <c r="C39" s="3">
        <f>IF(C38&lt;0, 0, C38)</f>
        <v>1.0000415947111179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8" sqref="C28"/>
      <selection pane="bottomLeft" activeCell="C28" sqref="C28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22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2.6179933333333336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-0.4035451569014713</v>
      </c>
    </row>
    <row r="22" spans="1:4" x14ac:dyDescent="0.2">
      <c r="A22" s="1">
        <v>1049</v>
      </c>
      <c r="B22" t="s">
        <v>1</v>
      </c>
      <c r="C22" s="3">
        <f>IF(C21&gt;0.99, 0.99, C21)</f>
        <v>-0.4035451569014713</v>
      </c>
    </row>
    <row r="23" spans="1:4" x14ac:dyDescent="0.2">
      <c r="A23" s="1">
        <v>1080</v>
      </c>
      <c r="B23" t="s">
        <v>39</v>
      </c>
      <c r="C23" s="15">
        <f>1.94*1440*C22*C8^(1/C22)</f>
        <v>-1686.3934428675445</v>
      </c>
    </row>
    <row r="24" spans="1:4" x14ac:dyDescent="0.2">
      <c r="A24" s="5" t="s">
        <v>15</v>
      </c>
      <c r="B24" s="6" t="s">
        <v>36</v>
      </c>
      <c r="C24" s="16">
        <f>C23*(1-C9/100)</f>
        <v>-1686.3934428675445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0.9149597293549957</v>
      </c>
    </row>
    <row r="30" spans="1:4" x14ac:dyDescent="0.2">
      <c r="A30" s="1" t="s">
        <v>15</v>
      </c>
      <c r="B30" t="s">
        <v>3</v>
      </c>
      <c r="C30" s="3">
        <f>COS(C15)*SIN(C20)/C29</f>
        <v>0.51351633408456243</v>
      </c>
    </row>
    <row r="31" spans="1:4" x14ac:dyDescent="0.2">
      <c r="A31" s="1" t="s">
        <v>15</v>
      </c>
      <c r="B31" t="s">
        <v>27</v>
      </c>
      <c r="C31" s="3">
        <f>IF(C30&gt;0.99, 0.99, C30)</f>
        <v>0.51351633408456243</v>
      </c>
    </row>
    <row r="32" spans="1:4" x14ac:dyDescent="0.2">
      <c r="A32" s="1" t="s">
        <v>15</v>
      </c>
      <c r="B32" t="s">
        <v>28</v>
      </c>
      <c r="C32" s="3">
        <f>IF(C31&lt;-0.99, -0.99, C31)</f>
        <v>0.51351633408456243</v>
      </c>
    </row>
    <row r="33" spans="1:3" x14ac:dyDescent="0.2">
      <c r="A33" s="1" t="s">
        <v>15</v>
      </c>
      <c r="B33" t="s">
        <v>4</v>
      </c>
      <c r="C33" s="3">
        <f>1-C31*C31</f>
        <v>0.73630097462835209</v>
      </c>
    </row>
    <row r="34" spans="1:3" x14ac:dyDescent="0.2">
      <c r="A34" s="1" t="s">
        <v>15</v>
      </c>
      <c r="B34" t="s">
        <v>29</v>
      </c>
      <c r="C34" s="3">
        <f>ATAN(C32/C33^0.5)</f>
        <v>0.53927769938810044</v>
      </c>
    </row>
    <row r="35" spans="1:3" x14ac:dyDescent="0.2">
      <c r="A35" s="1" t="s">
        <v>15</v>
      </c>
      <c r="B35" t="s">
        <v>48</v>
      </c>
      <c r="C35" s="3">
        <f>IF(C18&lt;0, -3.141592-C34,C34)</f>
        <v>-3.6808696993881007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-0.40355885942732322</v>
      </c>
    </row>
    <row r="38" spans="1:3" x14ac:dyDescent="0.2">
      <c r="A38" s="1" t="s">
        <v>32</v>
      </c>
      <c r="B38" t="s">
        <v>30</v>
      </c>
      <c r="C38" s="3">
        <f>C37/C22</f>
        <v>1.0000339553718278</v>
      </c>
    </row>
    <row r="39" spans="1:3" x14ac:dyDescent="0.2">
      <c r="A39" s="1" t="s">
        <v>32</v>
      </c>
      <c r="B39" t="s">
        <v>31</v>
      </c>
      <c r="C39" s="3">
        <f>IF(C38&lt;0, 0, C38)</f>
        <v>1.0000339553718278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8" sqref="C28"/>
      <selection pane="bottomLeft" activeCell="C28" sqref="C28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23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2.8797926666666669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-0.47545714934479311</v>
      </c>
    </row>
    <row r="22" spans="1:4" x14ac:dyDescent="0.2">
      <c r="A22" s="1">
        <v>1049</v>
      </c>
      <c r="B22" t="s">
        <v>1</v>
      </c>
      <c r="C22" s="3">
        <f>IF(C21&gt;0.99, 0.99, C21)</f>
        <v>-0.47545714934479311</v>
      </c>
    </row>
    <row r="23" spans="1:4" x14ac:dyDescent="0.2">
      <c r="A23" s="1">
        <v>1080</v>
      </c>
      <c r="B23" t="s">
        <v>39</v>
      </c>
      <c r="C23" s="15">
        <f>1.94*1440*C22*C8^(1/C22)</f>
        <v>-1869.4956950612805</v>
      </c>
    </row>
    <row r="24" spans="1:4" x14ac:dyDescent="0.2">
      <c r="A24" s="5" t="s">
        <v>15</v>
      </c>
      <c r="B24" s="6" t="s">
        <v>36</v>
      </c>
      <c r="C24" s="16">
        <f>C23*(1-C9/100)</f>
        <v>-1869.4956950612805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0.87973888122381128</v>
      </c>
    </row>
    <row r="30" spans="1:4" x14ac:dyDescent="0.2">
      <c r="A30" s="1" t="s">
        <v>15</v>
      </c>
      <c r="B30" t="s">
        <v>3</v>
      </c>
      <c r="C30" s="3">
        <f>COS(C15)*SIN(C20)/C29</f>
        <v>0.27645805162177955</v>
      </c>
    </row>
    <row r="31" spans="1:4" x14ac:dyDescent="0.2">
      <c r="A31" s="1" t="s">
        <v>15</v>
      </c>
      <c r="B31" t="s">
        <v>27</v>
      </c>
      <c r="C31" s="3">
        <f>IF(C30&gt;0.99, 0.99, C30)</f>
        <v>0.27645805162177955</v>
      </c>
    </row>
    <row r="32" spans="1:4" x14ac:dyDescent="0.2">
      <c r="A32" s="1" t="s">
        <v>15</v>
      </c>
      <c r="B32" t="s">
        <v>28</v>
      </c>
      <c r="C32" s="3">
        <f>IF(C31&lt;-0.99, -0.99, C31)</f>
        <v>0.27645805162177955</v>
      </c>
    </row>
    <row r="33" spans="1:3" x14ac:dyDescent="0.2">
      <c r="A33" s="1" t="s">
        <v>15</v>
      </c>
      <c r="B33" t="s">
        <v>4</v>
      </c>
      <c r="C33" s="3">
        <f>1-C31*C31</f>
        <v>0.92357094569348952</v>
      </c>
    </row>
    <row r="34" spans="1:3" x14ac:dyDescent="0.2">
      <c r="A34" s="1" t="s">
        <v>15</v>
      </c>
      <c r="B34" t="s">
        <v>29</v>
      </c>
      <c r="C34" s="3">
        <f>ATAN(C32/C33^0.5)</f>
        <v>0.28010655433872439</v>
      </c>
    </row>
    <row r="35" spans="1:3" x14ac:dyDescent="0.2">
      <c r="A35" s="1" t="s">
        <v>15</v>
      </c>
      <c r="B35" t="s">
        <v>48</v>
      </c>
      <c r="C35" s="3">
        <f>IF(C18&lt;0, -3.141592-C34,C34)</f>
        <v>-3.4216985543387244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-0.47547190511776338</v>
      </c>
    </row>
    <row r="38" spans="1:3" x14ac:dyDescent="0.2">
      <c r="A38" s="1" t="s">
        <v>32</v>
      </c>
      <c r="B38" t="s">
        <v>30</v>
      </c>
      <c r="C38" s="3">
        <f>C37/C22</f>
        <v>1.0000310349165864</v>
      </c>
    </row>
    <row r="39" spans="1:3" x14ac:dyDescent="0.2">
      <c r="A39" s="1" t="s">
        <v>32</v>
      </c>
      <c r="B39" t="s">
        <v>31</v>
      </c>
      <c r="C39" s="3">
        <f>IF(C38&lt;0, 0, C38)</f>
        <v>1.0000310349165864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zoomScale="150" zoomScaleNormal="150" zoomScalePageLayoutView="150" workbookViewId="0">
      <pane ySplit="2" topLeftCell="A3" activePane="bottomLeft" state="frozenSplit"/>
      <selection activeCell="C23" sqref="C23"/>
      <selection pane="bottomLeft" activeCell="D32" sqref="D32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  <col min="7" max="7" width="10.83203125" customWidth="1"/>
  </cols>
  <sheetData>
    <row r="1" spans="1:8" x14ac:dyDescent="0.2">
      <c r="A1" s="1">
        <v>620</v>
      </c>
      <c r="B1" t="s">
        <v>7</v>
      </c>
      <c r="C1" s="14">
        <v>0</v>
      </c>
      <c r="D1" s="13" t="s">
        <v>33</v>
      </c>
      <c r="E1" s="12" t="s">
        <v>34</v>
      </c>
    </row>
    <row r="2" spans="1:8" x14ac:dyDescent="0.2">
      <c r="D2" s="18">
        <f>C26</f>
        <v>0</v>
      </c>
      <c r="E2" s="17">
        <f>C28</f>
        <v>0</v>
      </c>
    </row>
    <row r="3" spans="1:8" x14ac:dyDescent="0.2">
      <c r="A3" s="1" t="s">
        <v>0</v>
      </c>
    </row>
    <row r="4" spans="1:8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8" x14ac:dyDescent="0.2">
      <c r="A5" s="1">
        <v>2412</v>
      </c>
      <c r="B5" t="s">
        <v>10</v>
      </c>
      <c r="C5" s="10">
        <f>Inputs!J32</f>
        <v>0</v>
      </c>
      <c r="F5" s="1"/>
    </row>
    <row r="6" spans="1:8" x14ac:dyDescent="0.2">
      <c r="A6" s="1">
        <v>2432</v>
      </c>
      <c r="B6" t="s">
        <v>22</v>
      </c>
      <c r="C6" s="10">
        <f>Inputs!J33</f>
        <v>0</v>
      </c>
      <c r="F6" s="1"/>
    </row>
    <row r="7" spans="1:8" x14ac:dyDescent="0.2">
      <c r="A7" s="1">
        <v>2372</v>
      </c>
      <c r="B7" t="s">
        <v>11</v>
      </c>
      <c r="C7" s="10">
        <f>Inputs!C8</f>
        <v>20</v>
      </c>
      <c r="F7" s="1"/>
      <c r="G7" t="s">
        <v>52</v>
      </c>
    </row>
    <row r="8" spans="1:8" x14ac:dyDescent="0.2">
      <c r="A8" s="1">
        <v>2393</v>
      </c>
      <c r="B8" t="s">
        <v>12</v>
      </c>
      <c r="C8" s="10">
        <v>0.85</v>
      </c>
      <c r="F8" s="1"/>
      <c r="G8" s="34">
        <f>TAN(C14)</f>
        <v>0.83912912604365497</v>
      </c>
      <c r="H8" t="s">
        <v>53</v>
      </c>
    </row>
    <row r="9" spans="1:8" x14ac:dyDescent="0.2">
      <c r="A9" s="1">
        <v>2512</v>
      </c>
      <c r="B9" t="s">
        <v>13</v>
      </c>
      <c r="C9" s="11">
        <f>Inputs!C9</f>
        <v>0</v>
      </c>
      <c r="F9" s="1"/>
      <c r="G9" s="34">
        <f>TAN(C15)</f>
        <v>0.36397015202468636</v>
      </c>
      <c r="H9" t="s">
        <v>54</v>
      </c>
    </row>
    <row r="10" spans="1:8" x14ac:dyDescent="0.2">
      <c r="F10" s="1"/>
      <c r="G10" s="34">
        <f>-G8*G9</f>
        <v>-0.30541795557445128</v>
      </c>
      <c r="H10" t="s">
        <v>55</v>
      </c>
    </row>
    <row r="11" spans="1:8" x14ac:dyDescent="0.2">
      <c r="A11" s="1">
        <v>300</v>
      </c>
      <c r="B11" t="s">
        <v>8</v>
      </c>
      <c r="C11" s="4">
        <f>3.141592/180</f>
        <v>1.745328888888889E-2</v>
      </c>
      <c r="F11" s="1"/>
      <c r="G11">
        <f>IF(G10&gt;0.9999999999, 1, G10)</f>
        <v>-0.30541795557445128</v>
      </c>
      <c r="H11" t="s">
        <v>61</v>
      </c>
    </row>
    <row r="12" spans="1:8" x14ac:dyDescent="0.2">
      <c r="A12" s="1" t="s">
        <v>21</v>
      </c>
      <c r="B12" t="s">
        <v>20</v>
      </c>
      <c r="C12" s="4">
        <f>(C5+0.001)*C11</f>
        <v>1.7453288888888892E-5</v>
      </c>
      <c r="F12" s="1"/>
      <c r="G12" s="34">
        <f>ACOS(G11)</f>
        <v>1.8811736534662673</v>
      </c>
      <c r="H12" t="s">
        <v>56</v>
      </c>
    </row>
    <row r="13" spans="1:8" x14ac:dyDescent="0.2">
      <c r="A13" s="1" t="s">
        <v>24</v>
      </c>
      <c r="B13" t="s">
        <v>23</v>
      </c>
      <c r="C13" s="4">
        <f>(C6+0.001)*C11</f>
        <v>1.7453288888888892E-5</v>
      </c>
      <c r="F13" s="1"/>
      <c r="G13">
        <f>G12/C11</f>
        <v>107.78333329850855</v>
      </c>
      <c r="H13" t="s">
        <v>57</v>
      </c>
    </row>
    <row r="14" spans="1:8" x14ac:dyDescent="0.2">
      <c r="A14" s="1" t="s">
        <v>16</v>
      </c>
      <c r="B14" t="s">
        <v>18</v>
      </c>
      <c r="C14" s="4">
        <f>C4*C11</f>
        <v>0.69814900884444442</v>
      </c>
      <c r="F14" s="1"/>
      <c r="G14" s="34">
        <f>2*G13/15</f>
        <v>14.371111106467806</v>
      </c>
      <c r="H14" t="s">
        <v>58</v>
      </c>
    </row>
    <row r="15" spans="1:8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-3.1415920000000002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-0.49998507360914612</v>
      </c>
    </row>
    <row r="22" spans="1:4" x14ac:dyDescent="0.2">
      <c r="A22" s="1">
        <v>1049</v>
      </c>
      <c r="B22" t="s">
        <v>1</v>
      </c>
      <c r="C22" s="3">
        <f>IF(C21&gt;0.99, 0.99, C21)</f>
        <v>-0.49998507360914612</v>
      </c>
    </row>
    <row r="23" spans="1:4" x14ac:dyDescent="0.2">
      <c r="A23" s="1">
        <v>1080</v>
      </c>
      <c r="B23" t="s">
        <v>39</v>
      </c>
      <c r="C23" s="15">
        <f>1.94*1440*C22*C8^(1/C22)</f>
        <v>-1933.2482425573871</v>
      </c>
    </row>
    <row r="24" spans="1:4" x14ac:dyDescent="0.2">
      <c r="A24" s="5" t="s">
        <v>15</v>
      </c>
      <c r="B24" s="6" t="s">
        <v>36</v>
      </c>
      <c r="C24" s="16">
        <f>C23*(1-C9/100)</f>
        <v>-1933.2482425573871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0.86603402136870855</v>
      </c>
    </row>
    <row r="30" spans="1:4" x14ac:dyDescent="0.2">
      <c r="A30" s="1" t="s">
        <v>15</v>
      </c>
      <c r="B30" t="s">
        <v>3</v>
      </c>
      <c r="C30" s="3">
        <f>COS(C15)*SIN(C20)/C29</f>
        <v>-7.091794394380724E-7</v>
      </c>
    </row>
    <row r="31" spans="1:4" x14ac:dyDescent="0.2">
      <c r="A31" s="1" t="s">
        <v>15</v>
      </c>
      <c r="B31" t="s">
        <v>27</v>
      </c>
      <c r="C31" s="3">
        <f>IF(C30&gt;0.99, 0.99, C30)</f>
        <v>-7.091794394380724E-7</v>
      </c>
    </row>
    <row r="32" spans="1:4" x14ac:dyDescent="0.2">
      <c r="A32" s="1" t="s">
        <v>15</v>
      </c>
      <c r="B32" t="s">
        <v>28</v>
      </c>
      <c r="C32" s="3">
        <f>IF(C31&lt;-0.99, -0.99, C31)</f>
        <v>-7.091794394380724E-7</v>
      </c>
    </row>
    <row r="33" spans="1:3" x14ac:dyDescent="0.2">
      <c r="A33" s="1" t="s">
        <v>15</v>
      </c>
      <c r="B33" t="s">
        <v>4</v>
      </c>
      <c r="C33" s="3">
        <f>1-C31*C31</f>
        <v>0.99999999999949707</v>
      </c>
    </row>
    <row r="34" spans="1:3" x14ac:dyDescent="0.2">
      <c r="A34" s="1" t="s">
        <v>15</v>
      </c>
      <c r="B34" t="s">
        <v>29</v>
      </c>
      <c r="C34" s="3">
        <f>ATAN(C32/C33^0.5)</f>
        <v>-7.0917943943813179E-7</v>
      </c>
    </row>
    <row r="35" spans="1:3" x14ac:dyDescent="0.2">
      <c r="A35" s="1" t="s">
        <v>15</v>
      </c>
      <c r="B35" t="s">
        <v>48</v>
      </c>
      <c r="C35" s="3">
        <f>IF(C18&lt;0, -3.141592-C34,C34)</f>
        <v>-3.1415912908205605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-0.50000018867495388</v>
      </c>
    </row>
    <row r="38" spans="1:3" x14ac:dyDescent="0.2">
      <c r="A38" s="1" t="s">
        <v>32</v>
      </c>
      <c r="B38" t="s">
        <v>30</v>
      </c>
      <c r="C38" s="3">
        <f>C37/C22</f>
        <v>1.0000302310340961</v>
      </c>
    </row>
    <row r="39" spans="1:3" x14ac:dyDescent="0.2">
      <c r="A39" s="1" t="s">
        <v>32</v>
      </c>
      <c r="B39" t="s">
        <v>31</v>
      </c>
      <c r="C39" s="3">
        <f>IF(C38&lt;0, 0, C38)</f>
        <v>1.0000302310340961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-2.8797926666666669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-0.47545714934479311</v>
      </c>
    </row>
    <row r="22" spans="1:4" x14ac:dyDescent="0.2">
      <c r="A22" s="1">
        <v>1049</v>
      </c>
      <c r="B22" t="s">
        <v>1</v>
      </c>
      <c r="C22" s="3">
        <f>IF(C21&gt;0.99, 0.99, C21)</f>
        <v>-0.47545714934479311</v>
      </c>
    </row>
    <row r="23" spans="1:4" x14ac:dyDescent="0.2">
      <c r="A23" s="1">
        <v>1080</v>
      </c>
      <c r="B23" t="s">
        <v>39</v>
      </c>
      <c r="C23" s="15">
        <f>1.94*1440*C22*C8^(1/C22)</f>
        <v>-1869.4956950612805</v>
      </c>
    </row>
    <row r="24" spans="1:4" x14ac:dyDescent="0.2">
      <c r="A24" s="5" t="s">
        <v>15</v>
      </c>
      <c r="B24" s="6" t="s">
        <v>36</v>
      </c>
      <c r="C24" s="16">
        <f>C23*(1-C9/100)</f>
        <v>-1869.4956950612805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0.87973888122381128</v>
      </c>
    </row>
    <row r="30" spans="1:4" x14ac:dyDescent="0.2">
      <c r="A30" s="1" t="s">
        <v>15</v>
      </c>
      <c r="B30" t="s">
        <v>3</v>
      </c>
      <c r="C30" s="3">
        <f>COS(C15)*SIN(C20)/C29</f>
        <v>-0.27645805162177955</v>
      </c>
    </row>
    <row r="31" spans="1:4" x14ac:dyDescent="0.2">
      <c r="A31" s="1" t="s">
        <v>15</v>
      </c>
      <c r="B31" t="s">
        <v>27</v>
      </c>
      <c r="C31" s="3">
        <f>IF(C30&gt;0.99, 0.99, C30)</f>
        <v>-0.27645805162177955</v>
      </c>
    </row>
    <row r="32" spans="1:4" x14ac:dyDescent="0.2">
      <c r="A32" s="1" t="s">
        <v>15</v>
      </c>
      <c r="B32" t="s">
        <v>28</v>
      </c>
      <c r="C32" s="3">
        <f>IF(C31&lt;-0.99, -0.99, C31)</f>
        <v>-0.27645805162177955</v>
      </c>
    </row>
    <row r="33" spans="1:3" x14ac:dyDescent="0.2">
      <c r="A33" s="1" t="s">
        <v>15</v>
      </c>
      <c r="B33" t="s">
        <v>4</v>
      </c>
      <c r="C33" s="3">
        <f>1-C31*C31</f>
        <v>0.92357094569348952</v>
      </c>
    </row>
    <row r="34" spans="1:3" x14ac:dyDescent="0.2">
      <c r="A34" s="1" t="s">
        <v>15</v>
      </c>
      <c r="B34" t="s">
        <v>29</v>
      </c>
      <c r="C34" s="3">
        <f>ATAN(C32/C33^0.5)</f>
        <v>-0.28010655433872439</v>
      </c>
    </row>
    <row r="35" spans="1:3" x14ac:dyDescent="0.2">
      <c r="A35" s="1" t="s">
        <v>15</v>
      </c>
      <c r="B35" t="s">
        <v>48</v>
      </c>
      <c r="C35" s="3">
        <f>IF(C18&lt;0, -3.141592-C34,C34)</f>
        <v>-2.8614854456612759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-0.47547190526038713</v>
      </c>
    </row>
    <row r="38" spans="1:3" x14ac:dyDescent="0.2">
      <c r="A38" s="1" t="s">
        <v>32</v>
      </c>
      <c r="B38" t="s">
        <v>30</v>
      </c>
      <c r="C38" s="3">
        <f>C37/C22</f>
        <v>1.0000310352165582</v>
      </c>
    </row>
    <row r="39" spans="1:3" x14ac:dyDescent="0.2">
      <c r="A39" s="1" t="s">
        <v>32</v>
      </c>
      <c r="B39" t="s">
        <v>31</v>
      </c>
      <c r="C39" s="3">
        <f>IF(C38&lt;0, 0, C38)</f>
        <v>1.0000310352165582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-2.6179933333333336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-0.4035451569014713</v>
      </c>
    </row>
    <row r="22" spans="1:4" x14ac:dyDescent="0.2">
      <c r="A22" s="1">
        <v>1049</v>
      </c>
      <c r="B22" t="s">
        <v>1</v>
      </c>
      <c r="C22" s="3">
        <f>IF(C21&gt;0.99, 0.99, C21)</f>
        <v>-0.4035451569014713</v>
      </c>
    </row>
    <row r="23" spans="1:4" x14ac:dyDescent="0.2">
      <c r="A23" s="1">
        <v>1080</v>
      </c>
      <c r="B23" t="s">
        <v>39</v>
      </c>
      <c r="C23" s="15">
        <f>1.94*1440*C22*C8^(1/C22)</f>
        <v>-1686.3934428675445</v>
      </c>
    </row>
    <row r="24" spans="1:4" x14ac:dyDescent="0.2">
      <c r="A24" s="5" t="s">
        <v>15</v>
      </c>
      <c r="B24" s="6" t="s">
        <v>36</v>
      </c>
      <c r="C24" s="16">
        <f>C23*(1-C9/100)</f>
        <v>-1686.3934428675445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0.9149597293549957</v>
      </c>
    </row>
    <row r="30" spans="1:4" x14ac:dyDescent="0.2">
      <c r="A30" s="1" t="s">
        <v>15</v>
      </c>
      <c r="B30" t="s">
        <v>3</v>
      </c>
      <c r="C30" s="3">
        <f>COS(C15)*SIN(C20)/C29</f>
        <v>-0.51351633408456243</v>
      </c>
    </row>
    <row r="31" spans="1:4" x14ac:dyDescent="0.2">
      <c r="A31" s="1" t="s">
        <v>15</v>
      </c>
      <c r="B31" t="s">
        <v>27</v>
      </c>
      <c r="C31" s="3">
        <f>IF(C30&gt;0.99, 0.99, C30)</f>
        <v>-0.51351633408456243</v>
      </c>
    </row>
    <row r="32" spans="1:4" x14ac:dyDescent="0.2">
      <c r="A32" s="1" t="s">
        <v>15</v>
      </c>
      <c r="B32" t="s">
        <v>28</v>
      </c>
      <c r="C32" s="3">
        <f>IF(C31&lt;-0.99, -0.99, C31)</f>
        <v>-0.51351633408456243</v>
      </c>
    </row>
    <row r="33" spans="1:3" x14ac:dyDescent="0.2">
      <c r="A33" s="1" t="s">
        <v>15</v>
      </c>
      <c r="B33" t="s">
        <v>4</v>
      </c>
      <c r="C33" s="3">
        <f>1-C31*C31</f>
        <v>0.73630097462835209</v>
      </c>
    </row>
    <row r="34" spans="1:3" x14ac:dyDescent="0.2">
      <c r="A34" s="1" t="s">
        <v>15</v>
      </c>
      <c r="B34" t="s">
        <v>29</v>
      </c>
      <c r="C34" s="3">
        <f>ATAN(C32/C33^0.5)</f>
        <v>-0.53927769938810044</v>
      </c>
    </row>
    <row r="35" spans="1:3" x14ac:dyDescent="0.2">
      <c r="A35" s="1" t="s">
        <v>15</v>
      </c>
      <c r="B35" t="s">
        <v>48</v>
      </c>
      <c r="C35" s="3">
        <f>IF(C18&lt;0, -3.141592-C34,C34)</f>
        <v>-2.6023143006118996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-0.40355885970285071</v>
      </c>
    </row>
    <row r="38" spans="1:3" x14ac:dyDescent="0.2">
      <c r="A38" s="1" t="s">
        <v>32</v>
      </c>
      <c r="B38" t="s">
        <v>30</v>
      </c>
      <c r="C38" s="3">
        <f>C37/C22</f>
        <v>1.0000339560545952</v>
      </c>
    </row>
    <row r="39" spans="1:3" x14ac:dyDescent="0.2">
      <c r="A39" s="1" t="s">
        <v>32</v>
      </c>
      <c r="B39" t="s">
        <v>31</v>
      </c>
      <c r="C39" s="3">
        <f>IF(C38&lt;0, 0, C38)</f>
        <v>1.0000339560545952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3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-2.3561940000000003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-0.28914977769655048</v>
      </c>
    </row>
    <row r="22" spans="1:4" x14ac:dyDescent="0.2">
      <c r="A22" s="1">
        <v>1049</v>
      </c>
      <c r="B22" t="s">
        <v>1</v>
      </c>
      <c r="C22" s="3">
        <f>IF(C21&gt;0.99, 0.99, C21)</f>
        <v>-0.28914977769655048</v>
      </c>
    </row>
    <row r="23" spans="1:4" x14ac:dyDescent="0.2">
      <c r="A23" s="1">
        <v>1080</v>
      </c>
      <c r="B23" t="s">
        <v>39</v>
      </c>
      <c r="C23" s="15">
        <f>1.94*1440*C22*C8^(1/C22)</f>
        <v>-1417.0518724216049</v>
      </c>
    </row>
    <row r="24" spans="1:4" x14ac:dyDescent="0.2">
      <c r="A24" s="5" t="s">
        <v>15</v>
      </c>
      <c r="B24" s="6" t="s">
        <v>36</v>
      </c>
      <c r="C24" s="16">
        <f>C23*(1-C9/100)</f>
        <v>-1417.0518724216049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0.95728386910990793</v>
      </c>
    </row>
    <row r="30" spans="1:4" x14ac:dyDescent="0.2">
      <c r="A30" s="1" t="s">
        <v>15</v>
      </c>
      <c r="B30" t="s">
        <v>3</v>
      </c>
      <c r="C30" s="3">
        <f>COS(C15)*SIN(C20)/C29</f>
        <v>-0.69411319787947956</v>
      </c>
    </row>
    <row r="31" spans="1:4" x14ac:dyDescent="0.2">
      <c r="A31" s="1" t="s">
        <v>15</v>
      </c>
      <c r="B31" t="s">
        <v>27</v>
      </c>
      <c r="C31" s="3">
        <f>IF(C30&gt;0.99, 0.99, C30)</f>
        <v>-0.69411319787947956</v>
      </c>
    </row>
    <row r="32" spans="1:4" x14ac:dyDescent="0.2">
      <c r="A32" s="1" t="s">
        <v>15</v>
      </c>
      <c r="B32" t="s">
        <v>28</v>
      </c>
      <c r="C32" s="3">
        <f>IF(C31&lt;-0.99, -0.99, C31)</f>
        <v>-0.69411319787947956</v>
      </c>
    </row>
    <row r="33" spans="1:3" x14ac:dyDescent="0.2">
      <c r="A33" s="1" t="s">
        <v>15</v>
      </c>
      <c r="B33" t="s">
        <v>4</v>
      </c>
      <c r="C33" s="3">
        <f>1-C31*C31</f>
        <v>0.51820686852952247</v>
      </c>
    </row>
    <row r="34" spans="1:3" x14ac:dyDescent="0.2">
      <c r="A34" s="1" t="s">
        <v>15</v>
      </c>
      <c r="B34" t="s">
        <v>29</v>
      </c>
      <c r="C34" s="3">
        <f>ATAN(C32/C33^0.5)</f>
        <v>-0.76718726886790645</v>
      </c>
    </row>
    <row r="35" spans="1:3" x14ac:dyDescent="0.2">
      <c r="A35" s="1" t="s">
        <v>15</v>
      </c>
      <c r="B35" t="s">
        <v>48</v>
      </c>
      <c r="C35" s="3">
        <f>IF(C18&lt;0, -3.141592-C34,C34)</f>
        <v>-2.3744047311320937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-0.2891618051876782</v>
      </c>
    </row>
    <row r="38" spans="1:3" x14ac:dyDescent="0.2">
      <c r="A38" s="1" t="s">
        <v>32</v>
      </c>
      <c r="B38" t="s">
        <v>30</v>
      </c>
      <c r="C38" s="3">
        <f>C37/C22</f>
        <v>1.0000415960587055</v>
      </c>
    </row>
    <row r="39" spans="1:3" x14ac:dyDescent="0.2">
      <c r="A39" s="1" t="s">
        <v>32</v>
      </c>
      <c r="B39" t="s">
        <v>31</v>
      </c>
      <c r="C39" s="3">
        <f>IF(C38&lt;0, 0, C38)</f>
        <v>1.0000415960587055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4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-2.0943946666666671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-0.14006686455032824</v>
      </c>
    </row>
    <row r="22" spans="1:4" x14ac:dyDescent="0.2">
      <c r="A22" s="1">
        <v>1049</v>
      </c>
      <c r="B22" t="s">
        <v>1</v>
      </c>
      <c r="C22" s="3">
        <f>IF(C21&gt;0.99, 0.99, C21)</f>
        <v>-0.14006686455032824</v>
      </c>
    </row>
    <row r="23" spans="1:4" x14ac:dyDescent="0.2">
      <c r="A23" s="1">
        <v>1080</v>
      </c>
      <c r="B23" t="s">
        <v>39</v>
      </c>
      <c r="C23" s="15">
        <f>1.94*1440*C22*C8^(1/C22)</f>
        <v>-1248.5602094489125</v>
      </c>
    </row>
    <row r="24" spans="1:4" x14ac:dyDescent="0.2">
      <c r="A24" s="5" t="s">
        <v>15</v>
      </c>
      <c r="B24" s="6" t="s">
        <v>36</v>
      </c>
      <c r="C24" s="16">
        <f>C23*(1-C9/100)</f>
        <v>-1248.5602094489125</v>
      </c>
    </row>
    <row r="25" spans="1:4" x14ac:dyDescent="0.2">
      <c r="A25" s="31"/>
      <c r="B25" s="32" t="s">
        <v>35</v>
      </c>
      <c r="C25" s="33">
        <f>IF(C24&lt;0, 0, C24)</f>
        <v>0</v>
      </c>
    </row>
    <row r="26" spans="1:4" x14ac:dyDescent="0.2">
      <c r="A26" s="7"/>
      <c r="B26" s="8" t="s">
        <v>49</v>
      </c>
      <c r="C26" s="17">
        <f>C25*C39</f>
        <v>0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0.99014204710992859</v>
      </c>
    </row>
    <row r="30" spans="1:4" x14ac:dyDescent="0.2">
      <c r="A30" s="1" t="s">
        <v>15</v>
      </c>
      <c r="B30" t="s">
        <v>3</v>
      </c>
      <c r="C30" s="3">
        <f>COS(C15)*SIN(C20)/C29</f>
        <v>-0.82190016064804272</v>
      </c>
    </row>
    <row r="31" spans="1:4" x14ac:dyDescent="0.2">
      <c r="A31" s="1" t="s">
        <v>15</v>
      </c>
      <c r="B31" t="s">
        <v>27</v>
      </c>
      <c r="C31" s="3">
        <f>IF(C30&gt;0.99, 0.99, C30)</f>
        <v>-0.82190016064804272</v>
      </c>
    </row>
    <row r="32" spans="1:4" x14ac:dyDescent="0.2">
      <c r="A32" s="1" t="s">
        <v>15</v>
      </c>
      <c r="B32" t="s">
        <v>28</v>
      </c>
      <c r="C32" s="3">
        <f>IF(C31&lt;-0.99, -0.99, C31)</f>
        <v>-0.82190016064804272</v>
      </c>
    </row>
    <row r="33" spans="1:3" x14ac:dyDescent="0.2">
      <c r="A33" s="1" t="s">
        <v>15</v>
      </c>
      <c r="B33" t="s">
        <v>4</v>
      </c>
      <c r="C33" s="3">
        <f>1-C31*C31</f>
        <v>0.3244801259267216</v>
      </c>
    </row>
    <row r="34" spans="1:3" x14ac:dyDescent="0.2">
      <c r="A34" s="1" t="s">
        <v>15</v>
      </c>
      <c r="B34" t="s">
        <v>29</v>
      </c>
      <c r="C34" s="3">
        <f>ATAN(C32/C33^0.5)</f>
        <v>-0.96473880696414505</v>
      </c>
    </row>
    <row r="35" spans="1:3" x14ac:dyDescent="0.2">
      <c r="A35" s="1" t="s">
        <v>15</v>
      </c>
      <c r="B35" t="s">
        <v>48</v>
      </c>
      <c r="C35" s="3">
        <f>IF(C18&lt;0, -3.141592-C34,C34)</f>
        <v>-2.1768531930358552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-0.1400767087047449</v>
      </c>
    </row>
    <row r="38" spans="1:3" x14ac:dyDescent="0.2">
      <c r="A38" s="1" t="s">
        <v>32</v>
      </c>
      <c r="B38" t="s">
        <v>30</v>
      </c>
      <c r="C38" s="3">
        <f>C37/C22</f>
        <v>1.0000702818218161</v>
      </c>
    </row>
    <row r="39" spans="1:3" x14ac:dyDescent="0.2">
      <c r="A39" s="1" t="s">
        <v>32</v>
      </c>
      <c r="B39" t="s">
        <v>31</v>
      </c>
      <c r="C39" s="3">
        <f>IF(C38&lt;0, 0, C38)</f>
        <v>1.0000702818218161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5</v>
      </c>
      <c r="D1" s="13" t="s">
        <v>33</v>
      </c>
      <c r="E1" s="12" t="s">
        <v>34</v>
      </c>
    </row>
    <row r="2" spans="1:6" x14ac:dyDescent="0.2">
      <c r="D2" s="18">
        <f>C26</f>
        <v>0.73711925590616878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-1.8325953333333336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3.35438325806241E-2</v>
      </c>
    </row>
    <row r="22" spans="1:4" x14ac:dyDescent="0.2">
      <c r="A22" s="1">
        <v>1049</v>
      </c>
      <c r="B22" t="s">
        <v>1</v>
      </c>
      <c r="C22" s="3">
        <f>IF(C21&gt;0.99, 0.99, C21)</f>
        <v>3.35438325806241E-2</v>
      </c>
    </row>
    <row r="23" spans="1:4" x14ac:dyDescent="0.2">
      <c r="A23" s="1">
        <v>1080</v>
      </c>
      <c r="B23" t="s">
        <v>39</v>
      </c>
      <c r="C23" s="15">
        <f>1.94*1440*C22*C8^(1/C22)</f>
        <v>0.7372797416961705</v>
      </c>
    </row>
    <row r="24" spans="1:4" x14ac:dyDescent="0.2">
      <c r="A24" s="5" t="s">
        <v>15</v>
      </c>
      <c r="B24" s="6" t="s">
        <v>36</v>
      </c>
      <c r="C24" s="16">
        <f>C23*(1-C9/100)</f>
        <v>0.7372797416961705</v>
      </c>
    </row>
    <row r="25" spans="1:4" x14ac:dyDescent="0.2">
      <c r="A25" s="31"/>
      <c r="B25" s="32" t="s">
        <v>35</v>
      </c>
      <c r="C25" s="33">
        <f>IF(C24&lt;0, 0, C24)</f>
        <v>0.7372797416961705</v>
      </c>
    </row>
    <row r="26" spans="1:4" x14ac:dyDescent="0.2">
      <c r="A26" s="7"/>
      <c r="B26" s="8" t="s">
        <v>49</v>
      </c>
      <c r="C26" s="17">
        <f>C25*C39</f>
        <v>0.73711925590616878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0.99943724730260231</v>
      </c>
    </row>
    <row r="30" spans="1:4" x14ac:dyDescent="0.2">
      <c r="A30" s="1" t="s">
        <v>15</v>
      </c>
      <c r="B30" t="s">
        <v>3</v>
      </c>
      <c r="C30" s="3">
        <f>COS(C15)*SIN(C20)/C29</f>
        <v>-0.90818457122558993</v>
      </c>
    </row>
    <row r="31" spans="1:4" x14ac:dyDescent="0.2">
      <c r="A31" s="1" t="s">
        <v>15</v>
      </c>
      <c r="B31" t="s">
        <v>27</v>
      </c>
      <c r="C31" s="3">
        <f>IF(C30&gt;0.99, 0.99, C30)</f>
        <v>-0.90818457122558993</v>
      </c>
    </row>
    <row r="32" spans="1:4" x14ac:dyDescent="0.2">
      <c r="A32" s="1" t="s">
        <v>15</v>
      </c>
      <c r="B32" t="s">
        <v>28</v>
      </c>
      <c r="C32" s="3">
        <f>IF(C31&lt;-0.99, -0.99, C31)</f>
        <v>-0.90818457122558993</v>
      </c>
    </row>
    <row r="33" spans="1:3" x14ac:dyDescent="0.2">
      <c r="A33" s="1" t="s">
        <v>15</v>
      </c>
      <c r="B33" t="s">
        <v>4</v>
      </c>
      <c r="C33" s="3">
        <f>1-C31*C31</f>
        <v>0.17520078458779131</v>
      </c>
    </row>
    <row r="34" spans="1:3" x14ac:dyDescent="0.2">
      <c r="A34" s="1" t="s">
        <v>15</v>
      </c>
      <c r="B34" t="s">
        <v>29</v>
      </c>
      <c r="C34" s="3">
        <f>ATAN(C32/C33^0.5)</f>
        <v>-1.1389262283110209</v>
      </c>
    </row>
    <row r="35" spans="1:3" x14ac:dyDescent="0.2">
      <c r="A35" s="1" t="s">
        <v>15</v>
      </c>
      <c r="B35" t="s">
        <v>48</v>
      </c>
      <c r="C35" s="3">
        <f>IF(C18&lt;0, -3.141592-C34,C34)</f>
        <v>-2.0026657716889793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3.3536530998650615E-2</v>
      </c>
    </row>
    <row r="38" spans="1:3" x14ac:dyDescent="0.2">
      <c r="A38" s="1" t="s">
        <v>32</v>
      </c>
      <c r="B38" t="s">
        <v>30</v>
      </c>
      <c r="C38" s="3">
        <f>C37/C22</f>
        <v>0.99978232713999104</v>
      </c>
    </row>
    <row r="39" spans="1:3" x14ac:dyDescent="0.2">
      <c r="A39" s="1" t="s">
        <v>32</v>
      </c>
      <c r="B39" t="s">
        <v>31</v>
      </c>
      <c r="C39" s="3">
        <f>IF(C38&lt;0, 0, C38)</f>
        <v>0.99978232713999104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zoomScale="150" zoomScaleNormal="150" zoomScalePageLayoutView="150" workbookViewId="0">
      <pane ySplit="2" topLeftCell="A4" activePane="bottomLeft" state="frozenSplit"/>
      <selection activeCell="C23" sqref="C23"/>
      <selection pane="bottomLeft" activeCell="C23" sqref="C2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6</v>
      </c>
      <c r="D1" s="13" t="s">
        <v>33</v>
      </c>
      <c r="E1" s="12" t="s">
        <v>34</v>
      </c>
    </row>
    <row r="2" spans="1:6" x14ac:dyDescent="0.2">
      <c r="D2" s="18">
        <f>C26</f>
        <v>293.253539151658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Inputs!C7+0.001</f>
        <v>40.000999999999998</v>
      </c>
      <c r="F4" s="1"/>
    </row>
    <row r="5" spans="1:6" x14ac:dyDescent="0.2">
      <c r="A5" s="1">
        <v>2412</v>
      </c>
      <c r="B5" t="s">
        <v>10</v>
      </c>
      <c r="C5" s="10">
        <f>Inputs!J32</f>
        <v>0</v>
      </c>
      <c r="F5" s="1"/>
    </row>
    <row r="6" spans="1:6" x14ac:dyDescent="0.2">
      <c r="A6" s="1">
        <v>2432</v>
      </c>
      <c r="B6" t="s">
        <v>22</v>
      </c>
      <c r="C6" s="10">
        <f>Inputs!J33</f>
        <v>0</v>
      </c>
      <c r="F6" s="1"/>
    </row>
    <row r="7" spans="1:6" x14ac:dyDescent="0.2">
      <c r="A7" s="1">
        <v>2372</v>
      </c>
      <c r="B7" t="s">
        <v>11</v>
      </c>
      <c r="C7" s="10">
        <f>Inputs!C8</f>
        <v>20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Inputs!C9</f>
        <v>0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1.7453288888888892E-5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0.69814900884444442</v>
      </c>
      <c r="F14" s="1"/>
    </row>
    <row r="15" spans="1:6" x14ac:dyDescent="0.2">
      <c r="A15" s="1" t="s">
        <v>17</v>
      </c>
      <c r="B15" t="s">
        <v>19</v>
      </c>
      <c r="C15" s="4">
        <f>C7*C11</f>
        <v>0.34906577777777781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-1.5707960000000001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0.21985103648678112</v>
      </c>
    </row>
    <row r="22" spans="1:4" x14ac:dyDescent="0.2">
      <c r="A22" s="1">
        <v>1049</v>
      </c>
      <c r="B22" t="s">
        <v>1</v>
      </c>
      <c r="C22" s="3">
        <f>IF(C21&gt;0.99, 0.99, C21)</f>
        <v>0.21985103648678112</v>
      </c>
    </row>
    <row r="23" spans="1:4" x14ac:dyDescent="0.2">
      <c r="A23" s="1">
        <v>1080</v>
      </c>
      <c r="B23" t="s">
        <v>39</v>
      </c>
      <c r="C23" s="15">
        <f>1.94*1440*C22*C8^(1/C22)</f>
        <v>293.25963914460453</v>
      </c>
    </row>
    <row r="24" spans="1:4" x14ac:dyDescent="0.2">
      <c r="A24" s="5" t="s">
        <v>15</v>
      </c>
      <c r="B24" s="6" t="s">
        <v>36</v>
      </c>
      <c r="C24" s="16">
        <f>C23*(1-C9/100)</f>
        <v>293.25963914460453</v>
      </c>
    </row>
    <row r="25" spans="1:4" x14ac:dyDescent="0.2">
      <c r="A25" s="31"/>
      <c r="B25" s="32" t="s">
        <v>35</v>
      </c>
      <c r="C25" s="33">
        <f>IF(C24&lt;0, 0, C24)</f>
        <v>293.25963914460453</v>
      </c>
    </row>
    <row r="26" spans="1:4" x14ac:dyDescent="0.2">
      <c r="A26" s="7"/>
      <c r="B26" s="8" t="s">
        <v>49</v>
      </c>
      <c r="C26" s="17">
        <f>C25*C39</f>
        <v>293.253539151658</v>
      </c>
    </row>
    <row r="27" spans="1:4" x14ac:dyDescent="0.2">
      <c r="A27" s="31" t="s">
        <v>15</v>
      </c>
      <c r="B27" s="32" t="s">
        <v>38</v>
      </c>
      <c r="C27" s="33">
        <f>0.5*C23*C9/100</f>
        <v>0</v>
      </c>
      <c r="D27" s="42" t="s">
        <v>62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0.97553345496486588</v>
      </c>
    </row>
    <row r="30" spans="1:4" x14ac:dyDescent="0.2">
      <c r="A30" s="1" t="s">
        <v>15</v>
      </c>
      <c r="B30" t="s">
        <v>3</v>
      </c>
      <c r="C30" s="3">
        <f>COS(C15)*SIN(C20)/C29</f>
        <v>-0.96326029706236371</v>
      </c>
    </row>
    <row r="31" spans="1:4" x14ac:dyDescent="0.2">
      <c r="A31" s="1" t="s">
        <v>15</v>
      </c>
      <c r="B31" t="s">
        <v>27</v>
      </c>
      <c r="C31" s="3">
        <f>IF(C30&gt;0.99, 0.99, C30)</f>
        <v>-0.96326029706236371</v>
      </c>
    </row>
    <row r="32" spans="1:4" x14ac:dyDescent="0.2">
      <c r="A32" s="1" t="s">
        <v>15</v>
      </c>
      <c r="B32" t="s">
        <v>28</v>
      </c>
      <c r="C32" s="3">
        <f>IF(C31&lt;-0.99, -0.99, C31)</f>
        <v>-0.96326029706236371</v>
      </c>
    </row>
    <row r="33" spans="1:3" x14ac:dyDescent="0.2">
      <c r="A33" s="1" t="s">
        <v>15</v>
      </c>
      <c r="B33" t="s">
        <v>4</v>
      </c>
      <c r="C33" s="3">
        <f>1-C31*C31</f>
        <v>7.2129600103326807E-2</v>
      </c>
    </row>
    <row r="34" spans="1:3" x14ac:dyDescent="0.2">
      <c r="A34" s="1" t="s">
        <v>15</v>
      </c>
      <c r="B34" t="s">
        <v>29</v>
      </c>
      <c r="C34" s="3">
        <f>ATAN(C32/C33^0.5)</f>
        <v>-1.2988886181717263</v>
      </c>
    </row>
    <row r="35" spans="1:3" x14ac:dyDescent="0.2">
      <c r="A35" s="1" t="s">
        <v>15</v>
      </c>
      <c r="B35" t="s">
        <v>48</v>
      </c>
      <c r="C35" s="3">
        <f>IF(C18&lt;0, -3.141592-C34,C34)</f>
        <v>-1.8427033818282739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0.21984646344094441</v>
      </c>
    </row>
    <row r="38" spans="1:3" x14ac:dyDescent="0.2">
      <c r="A38" s="1" t="s">
        <v>32</v>
      </c>
      <c r="B38" t="s">
        <v>30</v>
      </c>
      <c r="C38" s="3">
        <f>C37/C22</f>
        <v>0.99997919934374757</v>
      </c>
    </row>
    <row r="39" spans="1:3" x14ac:dyDescent="0.2">
      <c r="A39" s="1" t="s">
        <v>32</v>
      </c>
      <c r="B39" t="s">
        <v>31</v>
      </c>
      <c r="C39" s="3">
        <f>IF(C38&lt;0, 0, C38)</f>
        <v>0.99997919934374757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Inputs</vt:lpstr>
      <vt:lpstr>photosynthesis model</vt:lpstr>
      <vt:lpstr>Hour 0</vt:lpstr>
      <vt:lpstr>Hour 1</vt:lpstr>
      <vt:lpstr>Hour 2</vt:lpstr>
      <vt:lpstr>Hour 3</vt:lpstr>
      <vt:lpstr>Hour 4</vt:lpstr>
      <vt:lpstr>Hour 5</vt:lpstr>
      <vt:lpstr>Hour 6</vt:lpstr>
      <vt:lpstr>Hour 7</vt:lpstr>
      <vt:lpstr>Hour 8</vt:lpstr>
      <vt:lpstr>Hour 9</vt:lpstr>
      <vt:lpstr>Hour 10</vt:lpstr>
      <vt:lpstr>Hour 11</vt:lpstr>
      <vt:lpstr>Hour 12</vt:lpstr>
      <vt:lpstr>Hour 13</vt:lpstr>
      <vt:lpstr>Hour14</vt:lpstr>
      <vt:lpstr>Hour 15</vt:lpstr>
      <vt:lpstr>Hour 16</vt:lpstr>
      <vt:lpstr>Hour 17</vt:lpstr>
      <vt:lpstr>Hour 18</vt:lpstr>
      <vt:lpstr>Hour 19</vt:lpstr>
      <vt:lpstr>Hour 20</vt:lpstr>
      <vt:lpstr>Hour 21</vt:lpstr>
      <vt:lpstr>Hour 22</vt:lpstr>
      <vt:lpstr>Hour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Ehleringer</dc:creator>
  <cp:lastModifiedBy>Jim</cp:lastModifiedBy>
  <dcterms:created xsi:type="dcterms:W3CDTF">2016-09-17T09:05:44Z</dcterms:created>
  <dcterms:modified xsi:type="dcterms:W3CDTF">2020-11-02T04:38:05Z</dcterms:modified>
</cp:coreProperties>
</file>